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BenCheah\Downloads\"/>
    </mc:Choice>
  </mc:AlternateContent>
  <xr:revisionPtr revIDLastSave="0" documentId="13_ncr:1_{13C73C41-6C6D-4A28-BE34-A9C7237CF00B}" xr6:coauthVersionLast="47" xr6:coauthVersionMax="47" xr10:uidLastSave="{00000000-0000-0000-0000-000000000000}"/>
  <bookViews>
    <workbookView xWindow="-120" yWindow="-120" windowWidth="38640" windowHeight="15720" tabRatio="824" xr2:uid="{00000000-000D-0000-FFFF-FFFF00000000}"/>
  </bookViews>
  <sheets>
    <sheet name="Executive Summary" sheetId="1" r:id="rId1"/>
    <sheet name="FY28 Budget Model" sheetId="2" r:id="rId2"/>
    <sheet name="Staffing Plan" sheetId="3" r:id="rId3"/>
    <sheet name="FY26 Baseline" sheetId="4" r:id="rId4"/>
    <sheet name="FY26 Staffing History" sheetId="5" r:id="rId5"/>
    <sheet name="Staffing Formulas" sheetId="6" r:id="rId6"/>
    <sheet name="FY28 Foundation" sheetId="7" r:id="rId7"/>
    <sheet name="FY28 In-Kind &amp; Rent" sheetId="8" r:id="rId8"/>
    <sheet name="KPEA FY28 Salary" sheetId="9" r:id="rId9"/>
    <sheet name="KPESA FY28 Salary" sheetId="10" r:id="rId10"/>
    <sheet name="Admin Salary Ref" sheetId="11" r:id="rId11"/>
    <sheet name="Sources &amp; Notes" sheetId="12" r:id="rId12"/>
    <sheet name="SolEl_CS" sheetId="13" r:id="rId13"/>
    <sheet name="Percent of AADM" sheetId="14" r:id="rId14"/>
    <sheet name="Additional Allowable" sheetId="15" r:id="rId15"/>
    <sheet name="In-Kind Chargeable Costs" sheetId="16" r:id="rId16"/>
    <sheet name="Rent 625" sheetId="17" r:id="rId17"/>
    <sheet name="Total Revenue" sheetId="18" r:id="rId18"/>
    <sheet name="Title I History" sheetId="19" r:id="rId19"/>
    <sheet name="Exploratory Funds"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20" l="1"/>
  <c r="F20" i="20" s="1"/>
  <c r="B13" i="20"/>
  <c r="B12" i="20"/>
  <c r="B8" i="18"/>
  <c r="C15" i="16"/>
  <c r="B15" i="16"/>
  <c r="C14" i="16"/>
  <c r="D14" i="16" s="1"/>
  <c r="C13" i="16"/>
  <c r="D13" i="16" s="1"/>
  <c r="D12" i="16"/>
  <c r="C12" i="16"/>
  <c r="C11" i="16"/>
  <c r="D11" i="16" s="1"/>
  <c r="D10" i="16"/>
  <c r="D9" i="16"/>
  <c r="B10" i="15"/>
  <c r="B14" i="15" s="1"/>
  <c r="J24" i="13"/>
  <c r="J23" i="13"/>
  <c r="J18" i="13"/>
  <c r="J19" i="13" s="1"/>
  <c r="B30" i="8"/>
  <c r="D22" i="8"/>
  <c r="B22" i="8"/>
  <c r="B21" i="8"/>
  <c r="D21" i="8" s="1"/>
  <c r="D20" i="8"/>
  <c r="B20" i="8"/>
  <c r="B19" i="8"/>
  <c r="D19" i="8" s="1"/>
  <c r="B18" i="8"/>
  <c r="D18" i="8" s="1"/>
  <c r="B17" i="8"/>
  <c r="D17" i="8" s="1"/>
  <c r="B16" i="8"/>
  <c r="D16" i="8" s="1"/>
  <c r="D23" i="8" s="1"/>
  <c r="B9" i="8"/>
  <c r="B8" i="8"/>
  <c r="B7" i="8"/>
  <c r="B6" i="8"/>
  <c r="B20" i="7"/>
  <c r="B17" i="7"/>
  <c r="B15" i="7"/>
  <c r="B13" i="7"/>
  <c r="B8" i="7"/>
  <c r="B7" i="7"/>
  <c r="B6" i="7"/>
  <c r="B5" i="7"/>
  <c r="C16" i="6"/>
  <c r="C15" i="6"/>
  <c r="D14" i="6"/>
  <c r="C14" i="6"/>
  <c r="C13" i="6"/>
  <c r="C12" i="6"/>
  <c r="C11" i="6"/>
  <c r="D11" i="6" s="1"/>
  <c r="C10" i="6"/>
  <c r="D10" i="6" s="1"/>
  <c r="C9" i="6"/>
  <c r="D9" i="6" s="1"/>
  <c r="C8" i="6"/>
  <c r="D8" i="6" s="1"/>
  <c r="C7" i="6"/>
  <c r="D7" i="6" s="1"/>
  <c r="C6" i="6"/>
  <c r="D6" i="6" s="1"/>
  <c r="C5" i="6"/>
  <c r="D5" i="6" s="1"/>
  <c r="B38" i="3"/>
  <c r="B37" i="3"/>
  <c r="B36" i="3"/>
  <c r="B32" i="3"/>
  <c r="C37" i="3" s="1"/>
  <c r="B23" i="3"/>
  <c r="C36" i="3" s="1"/>
  <c r="B14" i="3"/>
  <c r="B11" i="20" s="1"/>
  <c r="B10" i="3"/>
  <c r="B13" i="3" s="1"/>
  <c r="B7" i="3"/>
  <c r="B9" i="3" s="1"/>
  <c r="C18" i="3" s="1"/>
  <c r="D18" i="3" s="1"/>
  <c r="B6" i="3"/>
  <c r="B33" i="2"/>
  <c r="B32" i="2"/>
  <c r="B39" i="1"/>
  <c r="B38" i="1"/>
  <c r="B37" i="1"/>
  <c r="B32" i="1"/>
  <c r="B10" i="1"/>
  <c r="B6" i="1"/>
  <c r="I6" i="20" l="1"/>
  <c r="D29" i="20"/>
  <c r="D30" i="20"/>
  <c r="B17" i="16"/>
  <c r="B23" i="8" s="1"/>
  <c r="D15" i="16"/>
  <c r="D17" i="16" s="1"/>
  <c r="C10" i="17" s="1"/>
  <c r="B10" i="8"/>
  <c r="J20" i="13"/>
  <c r="B9" i="7"/>
  <c r="B28" i="8"/>
  <c r="B11" i="2"/>
  <c r="D37" i="3"/>
  <c r="C38" i="1"/>
  <c r="D38" i="1" s="1"/>
  <c r="B13" i="1"/>
  <c r="D36" i="3"/>
  <c r="C38" i="3"/>
  <c r="B12" i="1"/>
  <c r="C37" i="1"/>
  <c r="D37" i="1" s="1"/>
  <c r="C27" i="3"/>
  <c r="D27" i="3" s="1"/>
  <c r="C28" i="3"/>
  <c r="D28" i="3" s="1"/>
  <c r="C30" i="3"/>
  <c r="D30" i="3" s="1"/>
  <c r="C31" i="3"/>
  <c r="D31" i="3" s="1"/>
  <c r="C29" i="3"/>
  <c r="D29" i="3" s="1"/>
  <c r="B7" i="20"/>
  <c r="C19" i="3"/>
  <c r="D19" i="3" s="1"/>
  <c r="D23" i="3" s="1"/>
  <c r="C20" i="3"/>
  <c r="D20" i="3" s="1"/>
  <c r="C22" i="3"/>
  <c r="D22" i="3" s="1"/>
  <c r="C21" i="3"/>
  <c r="D21" i="3" s="1"/>
  <c r="B6" i="20"/>
  <c r="B35" i="2"/>
  <c r="G29" i="20" l="1"/>
  <c r="I11" i="20" s="1"/>
  <c r="E29" i="20"/>
  <c r="E30" i="20"/>
  <c r="G30" i="20" s="1"/>
  <c r="J21" i="13"/>
  <c r="B10" i="7"/>
  <c r="D38" i="3"/>
  <c r="B13" i="5"/>
  <c r="B11" i="1"/>
  <c r="C39" i="1"/>
  <c r="D39" i="1" s="1"/>
  <c r="B34" i="2"/>
  <c r="B10" i="20"/>
  <c r="D28" i="20"/>
  <c r="D27" i="20"/>
  <c r="B17" i="2"/>
  <c r="H27" i="20"/>
  <c r="H28" i="20"/>
  <c r="D32" i="3"/>
  <c r="J22" i="13" l="1"/>
  <c r="B11" i="7"/>
  <c r="D21" i="20"/>
  <c r="F21" i="20" s="1"/>
  <c r="D22" i="20"/>
  <c r="F22" i="20" s="1"/>
  <c r="E28" i="20"/>
  <c r="G28" i="20"/>
  <c r="I10" i="20" s="1"/>
  <c r="E27" i="20"/>
  <c r="G27" i="20" s="1"/>
  <c r="I9" i="20" s="1"/>
  <c r="B29" i="1"/>
  <c r="B18" i="2"/>
  <c r="B14" i="1" s="1"/>
  <c r="B19" i="2"/>
  <c r="J25" i="13" l="1"/>
  <c r="B12" i="7"/>
  <c r="I7" i="20"/>
  <c r="I8" i="20"/>
  <c r="B30" i="1"/>
  <c r="B31" i="1"/>
  <c r="J27" i="13" l="1"/>
  <c r="H31" i="13"/>
  <c r="B14" i="7"/>
  <c r="J34" i="13" l="1"/>
  <c r="B16" i="7"/>
  <c r="B6" i="2" s="1"/>
  <c r="J31" i="13"/>
  <c r="B18" i="7" s="1"/>
  <c r="B7" i="2" s="1"/>
  <c r="B12" i="14"/>
  <c r="D10" i="17"/>
  <c r="J36" i="13" l="1"/>
  <c r="B21" i="7" s="1"/>
  <c r="B10" i="2" s="1"/>
  <c r="B8" i="1" s="1"/>
  <c r="J38" i="13"/>
  <c r="B22" i="7" s="1"/>
  <c r="B19" i="7"/>
  <c r="C12" i="14"/>
  <c r="B17" i="15"/>
  <c r="E10" i="17"/>
  <c r="B29" i="8"/>
  <c r="B31" i="8" s="1"/>
  <c r="B12" i="2" s="1"/>
  <c r="C17" i="15" l="1"/>
  <c r="B11" i="8"/>
  <c r="B10" i="17" l="1"/>
  <c r="B12" i="8"/>
  <c r="B8" i="2" s="1"/>
  <c r="B9" i="2" s="1"/>
  <c r="G10" i="17" l="1"/>
  <c r="B27" i="8"/>
  <c r="B32" i="8" s="1"/>
  <c r="B13" i="2"/>
  <c r="B7" i="1"/>
  <c r="F18" i="2" l="1"/>
  <c r="F19" i="2"/>
  <c r="F17" i="2"/>
  <c r="F21" i="2"/>
  <c r="F22" i="2"/>
  <c r="F24" i="2"/>
  <c r="B26" i="2"/>
  <c r="B36" i="2"/>
  <c r="B16" i="20"/>
  <c r="F20" i="2"/>
  <c r="F23" i="2"/>
  <c r="F25" i="2"/>
  <c r="B37" i="2"/>
  <c r="B9" i="1"/>
  <c r="B27" i="2" l="1"/>
  <c r="B38" i="2"/>
  <c r="F26" i="2"/>
  <c r="B15" i="1"/>
  <c r="B33" i="1"/>
  <c r="G22" i="20"/>
  <c r="G21" i="20"/>
  <c r="G20" i="20"/>
  <c r="B28" i="2" l="1"/>
  <c r="F28" i="2" s="1"/>
  <c r="F27" i="2"/>
</calcChain>
</file>

<file path=xl/sharedStrings.xml><?xml version="1.0" encoding="utf-8"?>
<sst xmlns="http://schemas.openxmlformats.org/spreadsheetml/2006/main" count="1652" uniqueCount="1089">
  <si>
    <t>Soldotna Elementary Charter School – FY28 Budget Workbook</t>
  </si>
  <si>
    <t>Detailed preliminary budget and source traceability. All amounts are planning estimates unless identified as District-provided inputs. September 2026</t>
  </si>
  <si>
    <t>Headline Metrics</t>
  </si>
  <si>
    <t>Metric</t>
  </si>
  <si>
    <t>Value</t>
  </si>
  <si>
    <t>Source / Interpretation</t>
  </si>
  <si>
    <t>Status</t>
  </si>
  <si>
    <t>Projected enrollment</t>
  </si>
  <si>
    <t>KPBSD FY28 Foundation workbook</t>
  </si>
  <si>
    <t>Planning</t>
  </si>
  <si>
    <t>Total preliminary revenue</t>
  </si>
  <si>
    <t>Foundation + Quality Schools + additional allowable local support</t>
  </si>
  <si>
    <t>Sourced / formula</t>
  </si>
  <si>
    <t>District charges before school-level budget</t>
  </si>
  <si>
    <t>4% indirect + in-kind + rent</t>
  </si>
  <si>
    <t>Estimated net operating budget</t>
  </si>
  <si>
    <t>Available for school-level expenses</t>
  </si>
  <si>
    <t>Formula</t>
  </si>
  <si>
    <t>FY26 baseline total FTE</t>
  </si>
  <si>
    <t>KPBSD FY26 Final Budget, Soldotna Elementary</t>
  </si>
  <si>
    <t>Sourced</t>
  </si>
  <si>
    <t>FY28 proposed total FTE</t>
  </si>
  <si>
    <t>District-formula/current-staffing-based planning model</t>
  </si>
  <si>
    <t>FY28 proposed certificated FTE</t>
  </si>
  <si>
    <t>FY28 proposed classified FTE</t>
  </si>
  <si>
    <t>Current/support-formula-based</t>
  </si>
  <si>
    <t>Personnel cost</t>
  </si>
  <si>
    <t>Cert + classified salaries + benefits</t>
  </si>
  <si>
    <t>Contingency / reserve</t>
  </si>
  <si>
    <t>Residual after planned operating expenses</t>
  </si>
  <si>
    <t>Budget Model Takeaways</t>
  </si>
  <si>
    <t>1</t>
  </si>
  <si>
    <t>The District-provided FY28 workbooks project 290 FTE students and approximately $5.866M in total preliminary revenue before District charges.</t>
  </si>
  <si>
    <t>S4/S5</t>
  </si>
  <si>
    <t>2</t>
  </si>
  <si>
    <t>After the 4% indirect charge, $706k of in-kind costs, and $447k rent estimate, the model provides approximately $4.529M for school-level operations.</t>
  </si>
  <si>
    <t>3</t>
  </si>
  <si>
    <t>S1 / Staffing Plan</t>
  </si>
  <si>
    <t>4</t>
  </si>
  <si>
    <t>Teacher compensation uses the newly negotiated FY28 KPEA schedule. The model uses Step L / C+36 or M ($87,307) as a planning point; actual employee placements will differ.</t>
  </si>
  <si>
    <t>S6</t>
  </si>
  <si>
    <t>5</t>
  </si>
  <si>
    <t>Administrator FY28 compensation is not yet published. The model uses the average FY27 Elem &lt;300 schedule plus a 3% editable planning escalation.</t>
  </si>
  <si>
    <t>S8 / assumption</t>
  </si>
  <si>
    <t>6</t>
  </si>
  <si>
    <t>Visual Summary</t>
  </si>
  <si>
    <t>Budget Category</t>
  </si>
  <si>
    <t>FY28 Amount</t>
  </si>
  <si>
    <t>Certificated Salaries</t>
  </si>
  <si>
    <t>Classified Salaries</t>
  </si>
  <si>
    <t>Employee Benefits</t>
  </si>
  <si>
    <t>Staffing Comparison</t>
  </si>
  <si>
    <t>FY26 Baseline</t>
  </si>
  <si>
    <t>FY28 Proposed</t>
  </si>
  <si>
    <t>Change</t>
  </si>
  <si>
    <t>Certificated FTE</t>
  </si>
  <si>
    <t>Classified FTE</t>
  </si>
  <si>
    <t>Total FTE</t>
  </si>
  <si>
    <t>FY28 Soldotna Elementary Charter School – Preliminary Budget Model</t>
  </si>
  <si>
    <t>Planning model based on KPBSD's FY28 funding workbooks, FY26 Soldotna Elementary baseline, and 2026 KPEA/KPESA contract schedules. Cross-sheet links are green; assumptions are blue/yellow.</t>
  </si>
  <si>
    <t>Revenue &amp; District Charges</t>
  </si>
  <si>
    <t>Line Item</t>
  </si>
  <si>
    <t>Formula / Source</t>
  </si>
  <si>
    <t>Source ID</t>
  </si>
  <si>
    <t>Page / Cell</t>
  </si>
  <si>
    <t>Treatment</t>
  </si>
  <si>
    <t>Notes</t>
  </si>
  <si>
    <t>Foundation Funding / Basic Need</t>
  </si>
  <si>
    <t>FY28 Foundation workbook</t>
  </si>
  <si>
    <t>S4</t>
  </si>
  <si>
    <t>SoEl CS!J27</t>
  </si>
  <si>
    <t>Revenue</t>
  </si>
  <si>
    <t>Quality Schools Funding</t>
  </si>
  <si>
    <t>SoEl CS!J31</t>
  </si>
  <si>
    <t>Additional Allowable Local Support</t>
  </si>
  <si>
    <t>FY28 In-Kind workbook</t>
  </si>
  <si>
    <t>S5</t>
  </si>
  <si>
    <t>Additional Allowable!C17</t>
  </si>
  <si>
    <t>Total Preliminary Revenue</t>
  </si>
  <si>
    <t>Sum of above</t>
  </si>
  <si>
    <t>Indirect Administrative Charge</t>
  </si>
  <si>
    <t>SoEl CS!J36</t>
  </si>
  <si>
    <t>District charge; 4%</t>
  </si>
  <si>
    <t>In-Kind / Chargeable Costs</t>
  </si>
  <si>
    <t>In-Kind Chargeable Costs!D17</t>
  </si>
  <si>
    <t>District charge</t>
  </si>
  <si>
    <t>Facility / Rent</t>
  </si>
  <si>
    <t>$625 × eligible AADM</t>
  </si>
  <si>
    <t>Rent 625!E10</t>
  </si>
  <si>
    <t>Estimated Net Operating Budget</t>
  </si>
  <si>
    <t>Revenue less District charges</t>
  </si>
  <si>
    <t>Available for school-level operating budget</t>
  </si>
  <si>
    <t>School-Level Operating Budget</t>
  </si>
  <si>
    <t>Expenditure Category</t>
  </si>
  <si>
    <t>FY28 Budget</t>
  </si>
  <si>
    <t>Basis</t>
  </si>
  <si>
    <t>Source / Assumption</t>
  </si>
  <si>
    <t>% of Net Budget</t>
  </si>
  <si>
    <t>Staffing Plan projected salary</t>
  </si>
  <si>
    <t>Staffing Plan</t>
  </si>
  <si>
    <t>13.01 FTE</t>
  </si>
  <si>
    <t>Planning benefit load × regular salaries</t>
  </si>
  <si>
    <t>FY26 benefit ratio</t>
  </si>
  <si>
    <t>S1</t>
  </si>
  <si>
    <t>Final FY28 KPBSD benefit rates needed</t>
  </si>
  <si>
    <t>Contingency / Salary &amp; Enrollment Reserve</t>
  </si>
  <si>
    <t>Residual to balance net operating budget</t>
  </si>
  <si>
    <t>Covers salary-placement variance / enrollment / unknowns</t>
  </si>
  <si>
    <t>Total School-Level Operating Expenditures</t>
  </si>
  <si>
    <t>Sum of expenditure categories</t>
  </si>
  <si>
    <t>Projected Surplus / (Deficit)</t>
  </si>
  <si>
    <t>Net operating budget less expenditures</t>
  </si>
  <si>
    <t>Key Operating Metrics</t>
  </si>
  <si>
    <t>Interpretation</t>
  </si>
  <si>
    <t>Source / Formula</t>
  </si>
  <si>
    <t>Projected Enrollment</t>
  </si>
  <si>
    <t>District FY28 planning enrollment</t>
  </si>
  <si>
    <t>FY26 Baseline Total FTE</t>
  </si>
  <si>
    <t>Current budgeted staffing baseline</t>
  </si>
  <si>
    <t>S1 p.134</t>
  </si>
  <si>
    <t>FY28 Proposed Total FTE</t>
  </si>
  <si>
    <t>Source-driven staffing plan</t>
  </si>
  <si>
    <t>Average students per classroom section</t>
  </si>
  <si>
    <t>Net operating budget per projected student</t>
  </si>
  <si>
    <t>After indirect, in-kind and rent charges</t>
  </si>
  <si>
    <t>Personnel share of net operating budget</t>
  </si>
  <si>
    <t>Cert + classified salaries + employee benefits</t>
  </si>
  <si>
    <t>Budget reserve after planned expenses</t>
  </si>
  <si>
    <t>Potential Supplemental Federal Revenue – Not Included in Base Budget</t>
  </si>
  <si>
    <t>Item</t>
  </si>
  <si>
    <t>FY28 Base Case</t>
  </si>
  <si>
    <t>Planning Treatment</t>
  </si>
  <si>
    <t>Source / Status</t>
  </si>
  <si>
    <t>Included in B9 Total?</t>
  </si>
  <si>
    <t>Title I-A supplemental revenue</t>
  </si>
  <si>
    <t>Excluded pending confirmation</t>
  </si>
  <si>
    <t>Recent DEED reports show Soldotna Elementary not Title I</t>
  </si>
  <si>
    <t>Title I History</t>
  </si>
  <si>
    <t>No</t>
  </si>
  <si>
    <t>Historical Title I services exist; FY28 eligibility/allocation unknown</t>
  </si>
  <si>
    <t>TBD</t>
  </si>
  <si>
    <t>Other federal grants / set-asides</t>
  </si>
  <si>
    <t>Excluded unless specifically awarded</t>
  </si>
  <si>
    <t>No school-specific FY28 award identified</t>
  </si>
  <si>
    <t>Add only when KPBSD identifies an attributable award</t>
  </si>
  <si>
    <t>FY28 Proposed Staffing Plan</t>
  </si>
  <si>
    <t>Source-driven planning model at 290 projected students. Blue/yellow cells are assumptions; green values link to source sheets.</t>
  </si>
  <si>
    <t>Key Salary &amp; Benefit Assumptions</t>
  </si>
  <si>
    <t>Assumption</t>
  </si>
  <si>
    <t>Formula / Basis</t>
  </si>
  <si>
    <t>Source</t>
  </si>
  <si>
    <t>Status / Note</t>
  </si>
  <si>
    <t>Teacher salary planning point</t>
  </si>
  <si>
    <t>KPEA FY28 Step L / C+36 or M</t>
  </si>
  <si>
    <t>S6 p.19</t>
  </si>
  <si>
    <t>Planning choice; actual KPBSD employee placements will vary.</t>
  </si>
  <si>
    <t>Latest administrator schedule average – Elem &lt;300</t>
  </si>
  <si>
    <t>Average of FY27 KPAA Range B steps 1–14</t>
  </si>
  <si>
    <t>S8 p.16</t>
  </si>
  <si>
    <t>Latest published administrator schedule.</t>
  </si>
  <si>
    <t>FY28 administrator escalation assumption</t>
  </si>
  <si>
    <t>Editable planning escalation above FY27 reference</t>
  </si>
  <si>
    <t>FY28 KPAA schedule not yet published.</t>
  </si>
  <si>
    <t>FY28 principal planning salary</t>
  </si>
  <si>
    <t>FY27 Range B average × (1 + escalation)</t>
  </si>
  <si>
    <t>S8 + assumption</t>
  </si>
  <si>
    <t>Planning only.</t>
  </si>
  <si>
    <t>FY26 average classified salary / FTE</t>
  </si>
  <si>
    <t>FY26 non-cert salaries ÷ FY26 non-cert FTE</t>
  </si>
  <si>
    <t>S1 p.133–134</t>
  </si>
  <si>
    <t>Starting point.</t>
  </si>
  <si>
    <t>KPESA hourly increase FY26 → FY28</t>
  </si>
  <si>
    <t>+$2/hour FY27 + $1/hour FY28</t>
  </si>
  <si>
    <t>S7 pp.21–22</t>
  </si>
  <si>
    <t>Contractual change after FY26 schedule.</t>
  </si>
  <si>
    <t>Blended paid hours / classified FTE</t>
  </si>
  <si>
    <t>Editable annual-hours proxy across mixed school-year/full-year positions</t>
  </si>
  <si>
    <t>Replace with position-specific calendars once staffing roster is known.</t>
  </si>
  <si>
    <t>FY28 average classified salary / FTE</t>
  </si>
  <si>
    <t>FY26 average + hourly increase × blended hours</t>
  </si>
  <si>
    <t>S1 + S7 + assumption</t>
  </si>
  <si>
    <t>Planning estimate.</t>
  </si>
  <si>
    <t>FY26 benefit load</t>
  </si>
  <si>
    <t>FY26 Employee Benefits ÷ (Cert + Non-cert salaries)</t>
  </si>
  <si>
    <t>S1 p.133</t>
  </si>
  <si>
    <t>Use as FY28 planning proxy until KPBSD Finance provides actual FY28 payroll rates.</t>
  </si>
  <si>
    <t>Certificated Staffing</t>
  </si>
  <si>
    <t>Position / Function</t>
  </si>
  <si>
    <t>FTE</t>
  </si>
  <si>
    <t>Salary / FTE</t>
  </si>
  <si>
    <t>Projected Salary</t>
  </si>
  <si>
    <t>FTE Basis</t>
  </si>
  <si>
    <t>Salary Basis</t>
  </si>
  <si>
    <t>Source FTE</t>
  </si>
  <si>
    <t>Source Salary</t>
  </si>
  <si>
    <t>Planning Note</t>
  </si>
  <si>
    <t>Principal</t>
  </si>
  <si>
    <t>Current school has 1.0 administrator</t>
  </si>
  <si>
    <t>S8 p.16 + assumption</t>
  </si>
  <si>
    <t>Latest FY27 Elem &lt;300 schedule average + 3% FY28 assumption</t>
  </si>
  <si>
    <t>S1/S8</t>
  </si>
  <si>
    <t>Classroom Teachers – K–6</t>
  </si>
  <si>
    <t>Reading / Intervention</t>
  </si>
  <si>
    <t>Published formula: 0.50 FTE at enrollment 200–350</t>
  </si>
  <si>
    <t>Teacher planning point</t>
  </si>
  <si>
    <t>S3 p.7</t>
  </si>
  <si>
    <t>District formula baseline</t>
  </si>
  <si>
    <t>S3/S6</t>
  </si>
  <si>
    <t>Certificated Total</t>
  </si>
  <si>
    <t>Classified Staffing</t>
  </si>
  <si>
    <t>Planning Salary / FTE</t>
  </si>
  <si>
    <t>Salary Method</t>
  </si>
  <si>
    <t>Special Education Aides</t>
  </si>
  <si>
    <t>Maintains current FY26 Soldotna budgeted FTE</t>
  </si>
  <si>
    <t>Blended classified salary/FTE</t>
  </si>
  <si>
    <t>S1 + S7</t>
  </si>
  <si>
    <t>Actual hours/ranges will vary by assignment</t>
  </si>
  <si>
    <t>S1/S7</t>
  </si>
  <si>
    <t>Library / Instructional Aide</t>
  </si>
  <si>
    <t>Published library aide formula at enrollment &gt;=276</t>
  </si>
  <si>
    <t>S3 p.8</t>
  </si>
  <si>
    <t>Current budgeted aide FTE is 0.39; model uses current formula</t>
  </si>
  <si>
    <t>S3/S7</t>
  </si>
  <si>
    <t>Nurse</t>
  </si>
  <si>
    <t>Maintains current FY26 budgeted FTE</t>
  </si>
  <si>
    <t>S7 p.23</t>
  </si>
  <si>
    <t>Actual nurse placement uses separate nurse schedule</t>
  </si>
  <si>
    <t>Administrative / Secretarial Support</t>
  </si>
  <si>
    <t>Published 1:275 formula at &gt;275 enrollment</t>
  </si>
  <si>
    <t>S7 p.19/22</t>
  </si>
  <si>
    <t>290/275 ≈ 1.05 FTE</t>
  </si>
  <si>
    <t>Custodians</t>
  </si>
  <si>
    <t>Building-sq.-ft. formula not separately modeled</t>
  </si>
  <si>
    <t>Classified Total</t>
  </si>
  <si>
    <t>Total Staffing</t>
  </si>
  <si>
    <t>Soldotna Elementary – FY26 Baseline Budget &amp; Staffing</t>
  </si>
  <si>
    <t>KPBSD FY26 Final Budget, Location 43 Soldotna Elementary. Sources: S1. This is the key baseline for the FY28 charter budget.</t>
  </si>
  <si>
    <t>Location Expenditures</t>
  </si>
  <si>
    <t>Account</t>
  </si>
  <si>
    <t>Description</t>
  </si>
  <si>
    <t>FY22 Actual</t>
  </si>
  <si>
    <t>FY23 Actual</t>
  </si>
  <si>
    <t>FY24 Actual</t>
  </si>
  <si>
    <t>FY25 Original</t>
  </si>
  <si>
    <t>FY25 Current</t>
  </si>
  <si>
    <t>FY26 Budget</t>
  </si>
  <si>
    <t>FY26 Change</t>
  </si>
  <si>
    <t>Non-Certificated Salaries</t>
  </si>
  <si>
    <t>Subtotal – Personnel Services</t>
  </si>
  <si>
    <t>Professional and Technical Services</t>
  </si>
  <si>
    <t>Staff Travel</t>
  </si>
  <si>
    <t>Student Travel</t>
  </si>
  <si>
    <t>Utility Services</t>
  </si>
  <si>
    <t>Energy</t>
  </si>
  <si>
    <t>Other Purchased Services</t>
  </si>
  <si>
    <t>Supplies, Materials, and Media</t>
  </si>
  <si>
    <t>Other Expenses</t>
  </si>
  <si>
    <t>Subtotal – Other</t>
  </si>
  <si>
    <t>Equipment</t>
  </si>
  <si>
    <t>Location Total</t>
  </si>
  <si>
    <t>Enrollment &amp; FTEs</t>
  </si>
  <si>
    <t>FY26 Change vs FY25 Current</t>
  </si>
  <si>
    <t>Enrollment in ADM (PS-6)</t>
  </si>
  <si>
    <t>S1 p.135</t>
  </si>
  <si>
    <t>FY27 had an increase of an additional ~50 students from Sterling</t>
  </si>
  <si>
    <t>Administrator</t>
  </si>
  <si>
    <t>Teacher (Includes Quest)</t>
  </si>
  <si>
    <t>Specialist</t>
  </si>
  <si>
    <t>DEED specialist definition includes counselors, librarians, psychologists, SLP/OT/PT/hearing specialists.</t>
  </si>
  <si>
    <t>Special Ed Teacher</t>
  </si>
  <si>
    <t>Certificated Subtotal</t>
  </si>
  <si>
    <t>Special Ed Aide</t>
  </si>
  <si>
    <t>Aide</t>
  </si>
  <si>
    <t>ELL tutor budgeted at another location per source.</t>
  </si>
  <si>
    <t>Nurses may be staffed above formula for legal coverage.</t>
  </si>
  <si>
    <t>Support</t>
  </si>
  <si>
    <t>Custodian</t>
  </si>
  <si>
    <t>Non-Certificated Subtotal</t>
  </si>
  <si>
    <t>Highlighted baseline used in this model.</t>
  </si>
  <si>
    <t>Soldotna Elementary Staffing History</t>
  </si>
  <si>
    <t>Historical total FTE from the KPBSD FY26 Final Budget staffing summary. Source: S2, printed p. 229.</t>
  </si>
  <si>
    <t>Period</t>
  </si>
  <si>
    <t>FY19 Actual</t>
  </si>
  <si>
    <t>S2 p.229</t>
  </si>
  <si>
    <t>FY20 Actual</t>
  </si>
  <si>
    <t>FY21 Actual</t>
  </si>
  <si>
    <t>FY25 Budget</t>
  </si>
  <si>
    <t>KPBSD Elementary Staffing Formula Reference</t>
  </si>
  <si>
    <t>Published FY26 staffing formulas are used as the current public baseline for FY28 planning. Replace if KPBSD issues a superseding FY28 formula. Source: S3.</t>
  </si>
  <si>
    <t>Enrollment Band / Role</t>
  </si>
  <si>
    <t>Formula / Threshold</t>
  </si>
  <si>
    <t>Assumed Enrollment</t>
  </si>
  <si>
    <t>Published FTE / Model Implication</t>
  </si>
  <si>
    <t>Page</t>
  </si>
  <si>
    <t>Model Treatment</t>
  </si>
  <si>
    <t>Elementary classroom – K</t>
  </si>
  <si>
    <t>1:22.5 pupil/teacher ratio</t>
  </si>
  <si>
    <t>S3</t>
  </si>
  <si>
    <t>p.7</t>
  </si>
  <si>
    <t>Actual grade-level enrollment distribution will determine staffing.</t>
  </si>
  <si>
    <t>Elementary classroom – Grade 1</t>
  </si>
  <si>
    <t>1:24.5 pupil/teacher ratio</t>
  </si>
  <si>
    <t>Elementary classroom – Grade 2</t>
  </si>
  <si>
    <t>Elementary classroom – Grade 3</t>
  </si>
  <si>
    <t>Elementary classroom – Grade 4</t>
  </si>
  <si>
    <t>1:26.5 pupil/teacher ratio</t>
  </si>
  <si>
    <t>Elementary classroom – Grade 5</t>
  </si>
  <si>
    <t xml:space="preserve">Elementary classroom – Grade 6 </t>
  </si>
  <si>
    <t>Elementary specialists</t>
  </si>
  <si>
    <t>2.0 FTE if enrollment 270–345</t>
  </si>
  <si>
    <t>2.0 FTE</t>
  </si>
  <si>
    <t>May support PE, music/fine arts, library/counseling or other specialist allocation subject to District classification.</t>
  </si>
  <si>
    <t>Elementary intervention</t>
  </si>
  <si>
    <t>0.50 FTE if enrollment 200–350</t>
  </si>
  <si>
    <t>0.50 FTE</t>
  </si>
  <si>
    <t>District formula baseline.</t>
  </si>
  <si>
    <t>Elementary secretary</t>
  </si>
  <si>
    <t>1:275 if enrollment &gt;275</t>
  </si>
  <si>
    <t>p.8</t>
  </si>
  <si>
    <t>1.05 FTE</t>
  </si>
  <si>
    <t>290/275 = 1.055; rounded for planning.</t>
  </si>
  <si>
    <t>Elementary library aide</t>
  </si>
  <si>
    <t>0.44 FTE if K–6 enrollment &gt;=276</t>
  </si>
  <si>
    <t>0.44 FTE</t>
  </si>
  <si>
    <t>District support formula.</t>
  </si>
  <si>
    <t>Average of 1.0 FTE/20,000 sq.ft. and 1:125 pupil/custodian ratio</t>
  </si>
  <si>
    <t>S3 / S1</t>
  </si>
  <si>
    <t>pp.8 / 134</t>
  </si>
  <si>
    <t>3.50 FTE</t>
  </si>
  <si>
    <t>Retains current FY26 Soldotna budgeted custodial FTE because building square footage input is not separately modeled.</t>
  </si>
  <si>
    <t>FY28 Foundation Funding – KPBSD-Provided Inputs</t>
  </si>
  <si>
    <t>Values transcribed from the District-provided FY28 Soldotna Elementary Charter School foundation workbook. Source: S4.</t>
  </si>
  <si>
    <t>Unit / Note</t>
  </si>
  <si>
    <t>Source Sheet / Cell</t>
  </si>
  <si>
    <t>Model Use</t>
  </si>
  <si>
    <t>FTE Enrollment</t>
  </si>
  <si>
    <t>students</t>
  </si>
  <si>
    <t>SoEl CS!J9</t>
  </si>
  <si>
    <t>Enrollment basis - Assumption</t>
  </si>
  <si>
    <t>Separate school</t>
  </si>
  <si>
    <t>Yes/No</t>
  </si>
  <si>
    <t>SoEl CS!J10</t>
  </si>
  <si>
    <t>Foundation formula</t>
  </si>
  <si>
    <t>Intensive service students</t>
  </si>
  <si>
    <t>SoEl CS!J13</t>
  </si>
  <si>
    <t>Correspondence students</t>
  </si>
  <si>
    <t>SoEl CS!J14</t>
  </si>
  <si>
    <t>School-size adjusted ADM</t>
  </si>
  <si>
    <t>ADM</t>
  </si>
  <si>
    <t>SoEl CS!J19</t>
  </si>
  <si>
    <t>District-cost adjusted ADM</t>
  </si>
  <si>
    <t>SoEl CS!J20</t>
  </si>
  <si>
    <t>Special-needs adjusted ADM</t>
  </si>
  <si>
    <t>SoEl CS!J21</t>
  </si>
  <si>
    <t>Vocational adjustment line</t>
  </si>
  <si>
    <t>ADM; District workbook labels this 'HS Vocational Education (*1.015)'</t>
  </si>
  <si>
    <t>SoEl CS!J22</t>
  </si>
  <si>
    <t>Foundation formula; confirm applicability</t>
  </si>
  <si>
    <t>Intensive-service ADM adjustment</t>
  </si>
  <si>
    <t>SoEl CS!J23</t>
  </si>
  <si>
    <t>Adjusted ADM</t>
  </si>
  <si>
    <t>AADM</t>
  </si>
  <si>
    <t>SoEl CS!J25</t>
  </si>
  <si>
    <t>Funding basis</t>
  </si>
  <si>
    <t>Base Student Allocation</t>
  </si>
  <si>
    <t>$/AADM</t>
  </si>
  <si>
    <t>SoEl CS!J26</t>
  </si>
  <si>
    <t>$</t>
  </si>
  <si>
    <t>Quality Schools per AADM</t>
  </si>
  <si>
    <t>SoEl CS!G30</t>
  </si>
  <si>
    <t>Total Foundation + Quality</t>
  </si>
  <si>
    <t>SoEl CS!J34</t>
  </si>
  <si>
    <t>Indirect cost rate</t>
  </si>
  <si>
    <t>%</t>
  </si>
  <si>
    <t>SoEl CS!I36</t>
  </si>
  <si>
    <t>Indirect cost amount</t>
  </si>
  <si>
    <t>Funds available after indirect</t>
  </si>
  <si>
    <t>SoEl CS!J38</t>
  </si>
  <si>
    <t>Planning reference</t>
  </si>
  <si>
    <t>FY28 Additional Local Support, In-Kind Costs &amp; Rent</t>
  </si>
  <si>
    <t>Values transcribed from KPBSD's FY28 In-Kind &amp; Rent workbook. Source: S5.</t>
  </si>
  <si>
    <t>Additional Local Support</t>
  </si>
  <si>
    <t>Comment</t>
  </si>
  <si>
    <t>FY28 Borough Support</t>
  </si>
  <si>
    <t>$; source workbook note: 'KPB Scenario 2'</t>
  </si>
  <si>
    <t>Additional Allowable!B6</t>
  </si>
  <si>
    <t>District workbook input</t>
  </si>
  <si>
    <t>Required Local Contribution</t>
  </si>
  <si>
    <t>Additional Allowable!B8</t>
  </si>
  <si>
    <t>Additional Allowable Support</t>
  </si>
  <si>
    <t>Additional Allowable!B10</t>
  </si>
  <si>
    <t>Districtwide amount</t>
  </si>
  <si>
    <t>Total District Adjusted ADM</t>
  </si>
  <si>
    <t>Additional Allowable!B12</t>
  </si>
  <si>
    <t>Districtwide</t>
  </si>
  <si>
    <t>Increase per Adjusted ADM</t>
  </si>
  <si>
    <t>Additional Allowable!B14</t>
  </si>
  <si>
    <t>Soldotna Elementary Charter School AADM</t>
  </si>
  <si>
    <t>Additional Allowable!B17</t>
  </si>
  <si>
    <t>School basis</t>
  </si>
  <si>
    <t>Soldotna additional allowable share</t>
  </si>
  <si>
    <t>School revenue</t>
  </si>
  <si>
    <t>Cost Category</t>
  </si>
  <si>
    <t>District Total</t>
  </si>
  <si>
    <t>Allocation %</t>
  </si>
  <si>
    <t>School Cost</t>
  </si>
  <si>
    <t>Audit</t>
  </si>
  <si>
    <t>In-Kind Chargeable Costs!B9:D9</t>
  </si>
  <si>
    <t>Custodial</t>
  </si>
  <si>
    <t>In-Kind Chargeable Costs!B10:D10</t>
  </si>
  <si>
    <t>Maintenance</t>
  </si>
  <si>
    <t>In-Kind Chargeable Costs!B11:D11</t>
  </si>
  <si>
    <t>Utilities</t>
  </si>
  <si>
    <t>In-Kind Chargeable Costs!B12:D12</t>
  </si>
  <si>
    <t>Liability Insurance</t>
  </si>
  <si>
    <t>In-Kind Chargeable Costs!B13:D13</t>
  </si>
  <si>
    <t>Property Insurance</t>
  </si>
  <si>
    <t>In-Kind Chargeable Costs!B14:D14</t>
  </si>
  <si>
    <t>Workers' Compensation</t>
  </si>
  <si>
    <t>In-Kind Chargeable Costs!B15:D15</t>
  </si>
  <si>
    <t>Total</t>
  </si>
  <si>
    <t>In-Kind Chargeable Costs!B17:D17</t>
  </si>
  <si>
    <t>Rent / Summary</t>
  </si>
  <si>
    <t>Additional Allowable</t>
  </si>
  <si>
    <t>Rent 625!B10</t>
  </si>
  <si>
    <t>Workbook row label says Aurora Borealis; assuming similar for Soldotna</t>
  </si>
  <si>
    <t>Less In-Kind</t>
  </si>
  <si>
    <t>Rent 625!C10</t>
  </si>
  <si>
    <t>Eligible AADM</t>
  </si>
  <si>
    <t>Rent 625!D10</t>
  </si>
  <si>
    <t>Rent per AADM</t>
  </si>
  <si>
    <t>Rent 625!E7</t>
  </si>
  <si>
    <t>Rent</t>
  </si>
  <si>
    <t>Remainder</t>
  </si>
  <si>
    <t>Rent 625!G10</t>
  </si>
  <si>
    <t>KPEA FY27–28 Teacher Salary Schedule</t>
  </si>
  <si>
    <t>Official FY28 schedule from the Final KPEA Tentative Agreement. Source: S6, Appendix A, printed p. 19.</t>
  </si>
  <si>
    <t>Step</t>
  </si>
  <si>
    <t>C</t>
  </si>
  <si>
    <t>C+18</t>
  </si>
  <si>
    <t>C+36 / M</t>
  </si>
  <si>
    <t>C+54 / M</t>
  </si>
  <si>
    <t>C+72 / M</t>
  </si>
  <si>
    <t>C+90 / M</t>
  </si>
  <si>
    <t>A</t>
  </si>
  <si>
    <t>B</t>
  </si>
  <si>
    <t>D</t>
  </si>
  <si>
    <t>E</t>
  </si>
  <si>
    <t>F</t>
  </si>
  <si>
    <t>G</t>
  </si>
  <si>
    <t>H</t>
  </si>
  <si>
    <t>I</t>
  </si>
  <si>
    <t>J</t>
  </si>
  <si>
    <t>K</t>
  </si>
  <si>
    <t>L</t>
  </si>
  <si>
    <t>M</t>
  </si>
  <si>
    <t>N</t>
  </si>
  <si>
    <t>O</t>
  </si>
  <si>
    <t>P</t>
  </si>
  <si>
    <t>Q</t>
  </si>
  <si>
    <t>R</t>
  </si>
  <si>
    <t>S</t>
  </si>
  <si>
    <t>T</t>
  </si>
  <si>
    <t>Longevity</t>
  </si>
  <si>
    <t>Contract Notes</t>
  </si>
  <si>
    <t>Value / Treatment</t>
  </si>
  <si>
    <t>FY28 schedule increase</t>
  </si>
  <si>
    <t>3.0% above FY27, plus possible additional 1.0% if contract funding condition is met.</t>
  </si>
  <si>
    <t>S6; Section 105 and Appendix A</t>
  </si>
  <si>
    <t>PhD stipend</t>
  </si>
  <si>
    <t>$4,000</t>
  </si>
  <si>
    <t>S6; Section 110</t>
  </si>
  <si>
    <t>Eligible national certification</t>
  </si>
  <si>
    <t>$2,000</t>
  </si>
  <si>
    <t>KPESA FY27–28 Classified Salary Reference</t>
  </si>
  <si>
    <t>General hourly schedule and nurse hourly schedule from the Final KPESA Agreement. Source: S7.</t>
  </si>
  <si>
    <t>Relevant Range Assignments</t>
  </si>
  <si>
    <t>Position</t>
  </si>
  <si>
    <t>Salary Range</t>
  </si>
  <si>
    <t>Source / Page</t>
  </si>
  <si>
    <t>Aide / Instructional</t>
  </si>
  <si>
    <t>S7 p.19</t>
  </si>
  <si>
    <t>Aide / Library</t>
  </si>
  <si>
    <t>Custodian I</t>
  </si>
  <si>
    <t>Custodian I / Head</t>
  </si>
  <si>
    <t>Aide / SpEd – Emotional Disabilities</t>
  </si>
  <si>
    <t>Aide / SpEd – Intensive Needs</t>
  </si>
  <si>
    <t>Aide / SpEd – Preschool</t>
  </si>
  <si>
    <t>Aide / SpEd – Resource</t>
  </si>
  <si>
    <t>Aide / SpEd – Vision</t>
  </si>
  <si>
    <t>Secretary I / Administrative</t>
  </si>
  <si>
    <t>Secretary II</t>
  </si>
  <si>
    <t>Nurse (AAS)</t>
  </si>
  <si>
    <t>S7 p.19 and nurse schedule p.23</t>
  </si>
  <si>
    <t>Nurse (BSN)</t>
  </si>
  <si>
    <t>FY28 General Hourly Salary Schedule</t>
  </si>
  <si>
    <t>Range</t>
  </si>
  <si>
    <t>Initial</t>
  </si>
  <si>
    <t>Longevity I</t>
  </si>
  <si>
    <t>S7 p.22</t>
  </si>
  <si>
    <t>FY28 Nurse Hourly Salary Schedule</t>
  </si>
  <si>
    <t>KPAA Administrator Salary Reference – Latest Published FY27</t>
  </si>
  <si>
    <t>Latest available KPAA salary schedule ends FY27. FY28 administrator pay is therefore modeled as an assumption. Source: S8, printed p. 16.</t>
  </si>
  <si>
    <t>Range / Role</t>
  </si>
  <si>
    <t>Days</t>
  </si>
  <si>
    <t>7</t>
  </si>
  <si>
    <t>8</t>
  </si>
  <si>
    <t>9</t>
  </si>
  <si>
    <t>10</t>
  </si>
  <si>
    <t>11</t>
  </si>
  <si>
    <t>12</t>
  </si>
  <si>
    <t>13</t>
  </si>
  <si>
    <t>14</t>
  </si>
  <si>
    <t>A Regional Principal</t>
  </si>
  <si>
    <t>B Elem &lt;300</t>
  </si>
  <si>
    <t>C AP High / AP 6-12</t>
  </si>
  <si>
    <t>D Elem &gt;300 / Middle / etc.</t>
  </si>
  <si>
    <t>E 6-12 &gt;300 / HS &gt;300</t>
  </si>
  <si>
    <t>Sources &amp; Notes</t>
  </si>
  <si>
    <t>Traceability index for every major sourced input in the budget model. Excel-source page is N/A; sheet/cell is provided instead.</t>
  </si>
  <si>
    <t>Document / Source</t>
  </si>
  <si>
    <t>Page / Location</t>
  </si>
  <si>
    <t>URL / File</t>
  </si>
  <si>
    <t>Used For</t>
  </si>
  <si>
    <t>Date / Status</t>
  </si>
  <si>
    <t>KPBSD FY26 Final Budget Document</t>
  </si>
  <si>
    <t>Printed pp. 134</t>
  </si>
  <si>
    <t>https://kpbsd.org/wp-content/uploads/departments/finance/budget-development/fy26/FY26-Final-Budget-Document.pdf</t>
  </si>
  <si>
    <t>Soldotna Elementary FY26 expenditures, enrollment, detailed staffing</t>
  </si>
  <si>
    <t>FY26 Final Budget</t>
  </si>
  <si>
    <t>Location 43 Soldotna Elementary. Includes 34.96 total FTE and $3.851M location budget.</t>
  </si>
  <si>
    <t>S2</t>
  </si>
  <si>
    <t>Printed p. 229; web PDF P240</t>
  </si>
  <si>
    <t>Soldotna Elementary staffing history FY19–FY26</t>
  </si>
  <si>
    <t>FY26 projected budget staffing = 34.96 FTE.</t>
  </si>
  <si>
    <t>Printed pp. 7–8; web PDF P15–P16</t>
  </si>
  <si>
    <t>Elementary staffing formulas and support formulas</t>
  </si>
  <si>
    <t>For elementary &gt;=250: K 1:22.5; grades 1–3 1:24.5; grades 4–6 1:26.5; specialists 2.0 FTE at enrollment 270–345; intervention 0.50 FTE at enrollment 200–350.</t>
  </si>
  <si>
    <t>FY28 Soldotna Elementary CS Foundation Funding.xlsx</t>
  </si>
  <si>
    <t>sheet 'SoEl CS', cells J9:J38</t>
  </si>
  <si>
    <t>See Red Highlighted Tab</t>
  </si>
  <si>
    <t>FY28 enrollment, AADM, BSA, foundation funding, Quality Schools, 4% indirect cost</t>
  </si>
  <si>
    <t>KPBSD-provided FY28 workbook (See red highlighted tabs)</t>
  </si>
  <si>
    <t>Includes a 1.015 line labeled 'HS Vocational Education' in the elementary formula; confirm with KPBSD Finance.</t>
  </si>
  <si>
    <t>FY28 Soldotna Elementary CS In-Kind &amp; Rent Calculations.xlsx</t>
  </si>
  <si>
    <t>sheets 'Additional Allowable', 'In-Kind Chargeable Costs', 'Rent 625', 'Total Revenue'</t>
  </si>
  <si>
    <t>See Red Highlighted Tabs</t>
  </si>
  <si>
    <t>Borough support, additional local support, in-kind costs, rent, total revenue</t>
  </si>
  <si>
    <t>Rent sheet row label says 'Aurora Borealis' although formulas/values correspond to Soldotna; likely template artifact.</t>
  </si>
  <si>
    <t>KPEA Final Tentative Agreement</t>
  </si>
  <si>
    <t>Appendix A, FY27–28 salary schedule, printed p. 19</t>
  </si>
  <si>
    <t>https://kpbsd.org/wp-content/uploads/departments/human-resources/collective-bargaining-agreements/2024-25/KPEA/TA-%E2%80%93-Final-KPEA-Tentative-Agreement-2026-08-12.pdf</t>
  </si>
  <si>
    <t>FY28 teacher salary schedule; possible additional 1% salary increase</t>
  </si>
  <si>
    <t>Final TA dated 2026-08-12</t>
  </si>
  <si>
    <t>FY28 schedule is 3% above FY27; additional 1% possible if specified state-funding threshold is met.</t>
  </si>
  <si>
    <t>S7</t>
  </si>
  <si>
    <t>KPESA Final Agreement</t>
  </si>
  <si>
    <t>Appendix A range assignments p. 19; FY28 salary schedule p. 22; nurse schedule p. 23</t>
  </si>
  <si>
    <t>https://kpbsd.org/wp-content/uploads/departments/human-resources/collective-bargaining-agreements/2024-25/KPESA/TA-Final-KPESA-Agreement-2026-07-24.pdf</t>
  </si>
  <si>
    <t>Classified position ranges and FY28 hourly salary schedules</t>
  </si>
  <si>
    <t>Final agreement dated 2026-07-24</t>
  </si>
  <si>
    <t>FY27 schedule adds $2/hour; FY28 schedule adds $1/hour.</t>
  </si>
  <si>
    <t>S8</t>
  </si>
  <si>
    <t>KPAA Negotiated Agreement FY25–FY27</t>
  </si>
  <si>
    <t>FY26–27 salary schedule, printed p. 16</t>
  </si>
  <si>
    <t>https://kpbsd.org/wp-content/uploads/departments/human-resources/collective-bargaining-agreements/KPAA-NA-FY25-FY27.pdf</t>
  </si>
  <si>
    <t>Latest published administrator salary reference</t>
  </si>
  <si>
    <t>Agreement through 2027-06-30</t>
  </si>
  <si>
    <t>No FY28 administrator schedule located. Model uses latest FY27 Elem &lt;300 schedule average plus an editable FY28 escalation assumption.</t>
  </si>
  <si>
    <t>S9</t>
  </si>
  <si>
    <t>KPEA/KPESA Health Care Tentative Agreement</t>
  </si>
  <si>
    <t>pp. 2–3</t>
  </si>
  <si>
    <t>https://kpbsd.org/wp-content/uploads/departments/human-resources/collective-bargaining-agreements/2024-25/KPEA/TA-%E2%80%93-Health-Care-2026-08-12.pdf</t>
  </si>
  <si>
    <t>Health plan cost sharing and HRA/HSA contribution</t>
  </si>
  <si>
    <t>Agreement dated 2026-08-12</t>
  </si>
  <si>
    <t>District pays 90% and employees 10% of health-plan costs; annual $1,000 HRA/HSA contribution per covered employee.</t>
  </si>
  <si>
    <t>S10</t>
  </si>
  <si>
    <t>KPEA Bargaining page</t>
  </si>
  <si>
    <t>Web page; Tentative Agreements section</t>
  </si>
  <si>
    <t>https://kpbsd.org/departments/assistant-superintendent/instructional-services/hr/collective-bargaining-agreements/kpea-bargaining/</t>
  </si>
  <si>
    <t>Current posting/status of 2026 KPEA agreements</t>
  </si>
  <si>
    <t>Accessed 2026-09-21</t>
  </si>
  <si>
    <t>Lists Final KPEA Tentative Agreement and Health Care TA dated 2026-08-12.</t>
  </si>
  <si>
    <t>Model Assumptions / Data Quality Flags</t>
  </si>
  <si>
    <t>Why / Source</t>
  </si>
  <si>
    <t>FY28 administrator salary</t>
  </si>
  <si>
    <t>Uses average of latest FY27 Elem &lt;300 administrator schedule, then applies editable 3.0% FY28 escalation.</t>
  </si>
  <si>
    <t>FY28 KPAA salary schedule is not yet published (S8).</t>
  </si>
  <si>
    <t>Teacher planning salary</t>
  </si>
  <si>
    <t>Uses FY28 KPEA Step L / C+36 or M = $87,307 for all regular certificated instructional positions.</t>
  </si>
  <si>
    <t>Salary value is sourced (S6); selected step/column is a planning assumption, not an actual employee placement.</t>
  </si>
  <si>
    <t>Classified salaries</t>
  </si>
  <si>
    <t>Uses FY26 Soldotna Elementary average non-certificated salary/FTE plus $3/hour contractual increase to FY28 and an editable 1,600-hour blended annual-hours assumption.</t>
  </si>
  <si>
    <t>FY26 average from S1; contractual hourly increases from S7. Position-specific calendars are not yet known.</t>
  </si>
  <si>
    <t>Benefits</t>
  </si>
  <si>
    <t>Uses FY26 Soldotna Elementary benefit-to-salary ratio as the planning load.</t>
  </si>
  <si>
    <t>S1. Final FY28 KPBSD payroll benefit rates should replace this estimate; S9 documents new 90/10 health cost-sharing.</t>
  </si>
  <si>
    <t>FY28 staffing formulas</t>
  </si>
  <si>
    <t>S3. Replace if KPBSD issues a different FY28 staffing formula.</t>
  </si>
  <si>
    <t>Foundation formula flag</t>
  </si>
  <si>
    <t>Retains District-provided 1.015 'HS Vocational Education' adjustment in the FY28 workbook.</t>
  </si>
  <si>
    <t>S4. Confirm K–6 applicability with KPBSD Finance.</t>
  </si>
  <si>
    <t>Rent workbook label</t>
  </si>
  <si>
    <t>Uses the Soldotna values, not the apparent 'Aurora Borealis' row label.</t>
  </si>
  <si>
    <t>S5. The row label appears to be a template artifact.</t>
  </si>
  <si>
    <t>Title I / Federal Funding Sources</t>
  </si>
  <si>
    <t>S11</t>
  </si>
  <si>
    <t>Alaska DEED Soldotna Elementary Report Card 2024-25</t>
  </si>
  <si>
    <t>Web report card</t>
  </si>
  <si>
    <t>https://education.alaska.gov/compass/Report/2024-2025/24/240210</t>
  </si>
  <si>
    <t>Recent Title I designation and school-level federal $/pupil</t>
  </si>
  <si>
    <t>2024-25</t>
  </si>
  <si>
    <t>Title I = No; school-level federal spending = $515/pupil, but this is all federal funding, not Title I.</t>
  </si>
  <si>
    <t>S12</t>
  </si>
  <si>
    <t>KPBSD Annual Class Size Enrollment Report 2016-17</t>
  </si>
  <si>
    <t>PDF viewer p.42; Soldotna El #43</t>
  </si>
  <si>
    <t>https://kpbsd.org/WorkArea/DownloadAsset.aspx?id=37963</t>
  </si>
  <si>
    <t>Historical Soldotna Title I staffing</t>
  </si>
  <si>
    <t>2016-17</t>
  </si>
  <si>
    <t>Lists 1.00 FTE Title I Pre-K (Temp) at Soldotna Elementary.</t>
  </si>
  <si>
    <t>S13</t>
  </si>
  <si>
    <t>KPBSD Board News in Brief – Apr. 5, 2010</t>
  </si>
  <si>
    <t>PDF p.2</t>
  </si>
  <si>
    <t>https://kpbsd.org/wp-content/uploads/school-board/board-meeting-archive/2009-2010/2010-04-05_news.pdf</t>
  </si>
  <si>
    <t>2010-11 staffing approvals</t>
  </si>
  <si>
    <t>Lists .50 FTE temporary Title I teacher paired with .50 FTE permanent interventionist at Soldotna Elementary.</t>
  </si>
  <si>
    <t>S14</t>
  </si>
  <si>
    <t>KPSAA Executive Board Agenda – Feb. 23, 2023</t>
  </si>
  <si>
    <t>PDF p.1</t>
  </si>
  <si>
    <t>https://kpbsd.org/wp-content/uploads/parents-students/KPSAA/KPSAA-meeting-agendas/2022-2023/KPSAA-Executive-Board-AGENDA-2.23.23.pdf</t>
  </si>
  <si>
    <t>Recent school-specific Title I use</t>
  </si>
  <si>
    <t>2023</t>
  </si>
  <si>
    <t>Approves Soldotna Elementary Coding Club and Leadership Club with Title I funds; amount not stated.</t>
  </si>
  <si>
    <t>S15</t>
  </si>
  <si>
    <t>Alaska DEED Title I-A Guidance</t>
  </si>
  <si>
    <t>Web page</t>
  </si>
  <si>
    <t>https://education.alaska.gov/ESEA/TitleI-A</t>
  </si>
  <si>
    <t>Title I eligibility and program-model rules</t>
  </si>
  <si>
    <t>Current / accessed 2026-09-21</t>
  </si>
  <si>
    <t>Targeted Assistance eligibility may begin at 35% poverty or district average (whichever lower); district ranking/serving rules determine actual allocations.</t>
  </si>
  <si>
    <t>Title I FY28 treatment</t>
  </si>
  <si>
    <t>Base budget includes $0 Title I-A revenue; do not assume a school-level allocation until KPBSD Federal Programs confirms eligibility and FY28 allocation.</t>
  </si>
  <si>
    <t>See Title I History sheet / S11-S15.</t>
  </si>
  <si>
    <t>Exploratory Services / Supplemental Program Sources</t>
  </si>
  <si>
    <t>S16</t>
  </si>
  <si>
    <t>KPEA Final Agreement 2026-08-12</t>
  </si>
  <si>
    <t>Article 120 p.8; Appendix B pp.20–22</t>
  </si>
  <si>
    <t>Extracurricular contracts and FY28 nominal-fee schedule</t>
  </si>
  <si>
    <t>Final</t>
  </si>
  <si>
    <t>Used on Nice to Haves tab.</t>
  </si>
  <si>
    <t>S17</t>
  </si>
  <si>
    <t>KPEA Section 405 – Additional Educational Employment</t>
  </si>
  <si>
    <t>TA p.1</t>
  </si>
  <si>
    <t>https://kpbsd.org/wp-content/uploads/departments/human-resources/collective-bargaining-agreements/2024-25/KPEA/TA-Section-405-2025-04-16.pdf</t>
  </si>
  <si>
    <t>Teacher extended-day / tutoring pay basis</t>
  </si>
  <si>
    <t>TA</t>
  </si>
  <si>
    <t>Per diem or prorated per diem.</t>
  </si>
  <si>
    <t>S18</t>
  </si>
  <si>
    <t>ASCA School Counselor Roles &amp; Ratios</t>
  </si>
  <si>
    <t>https://www.schoolcounselor.org/about-school-counseling/school-counselor-roles-ratios</t>
  </si>
  <si>
    <t>Counselor staffing context</t>
  </si>
  <si>
    <t>Current</t>
  </si>
  <si>
    <t>ASCA recommends 250:1.</t>
  </si>
  <si>
    <t>SOLDOTNA ELEMENTARY CHARTER SCHOOL</t>
  </si>
  <si>
    <t>FY28 Foundation Funding</t>
  </si>
  <si>
    <t>Provided by Czarina Voivedich on 09/01/2026</t>
  </si>
  <si>
    <t xml:space="preserve">  </t>
  </si>
  <si>
    <t xml:space="preserve"> </t>
  </si>
  <si>
    <t>Variables:</t>
  </si>
  <si>
    <t>THIS FORMULA IS FOR 250 - 399.99 ONLY</t>
  </si>
  <si>
    <t>Is program funded as a separate school per statute (Yes or No)</t>
  </si>
  <si>
    <t>Yes</t>
  </si>
  <si>
    <t>ADM if funded as separate school</t>
  </si>
  <si>
    <t>ADM if funded as included in largest school (per statute)</t>
  </si>
  <si>
    <t>Intensive service students (as included in FTE enrollemnt)</t>
  </si>
  <si>
    <t>Correspondence students (not included in FTE enrollment)</t>
  </si>
  <si>
    <t>Estimated State Foundation Funding</t>
  </si>
  <si>
    <t>ADM as adjusted for school size 326.10 + (.97 * (ADM - 250))</t>
  </si>
  <si>
    <t>ADM as adjusted for district cost factor (*1.171)</t>
  </si>
  <si>
    <t>ADM as adjusted for special needs (*1.2)</t>
  </si>
  <si>
    <t>ADM as adjusted for HS Vocational Education (*1.015)</t>
  </si>
  <si>
    <t>ADM adjustment for intensive service counts (x13)</t>
  </si>
  <si>
    <t>ADM adjustment for correspondence students</t>
  </si>
  <si>
    <t>Base student allocation (BSA)</t>
  </si>
  <si>
    <t>Estimated State Foundation Funding (Basic Need)</t>
  </si>
  <si>
    <t>Quality schools funding per adjusted ADM</t>
  </si>
  <si>
    <t>Total Estimated Revenue Per Capita Funding</t>
  </si>
  <si>
    <t xml:space="preserve"> Less indirect cost rate *</t>
  </si>
  <si>
    <t>Funds available for operation</t>
  </si>
  <si>
    <t>Charter schools are capped at 4%</t>
  </si>
  <si>
    <t>KPBSD</t>
  </si>
  <si>
    <t>Charter School Information</t>
  </si>
  <si>
    <t>FY28 Projected Cost formulas</t>
  </si>
  <si>
    <t>Percent of Adjusted ADM</t>
  </si>
  <si>
    <t>For 100% Chargeable Costs</t>
  </si>
  <si>
    <t>Adjusted</t>
  </si>
  <si>
    <t>Soldotna Elementary CS</t>
  </si>
  <si>
    <t>Additional Allowable to Charter Schools Per HB 278</t>
  </si>
  <si>
    <t>FY28 Projected</t>
  </si>
  <si>
    <t>Borough Support</t>
  </si>
  <si>
    <t>KPB Scenario 2</t>
  </si>
  <si>
    <t>Required Contribution</t>
  </si>
  <si>
    <t>Increase Per Adjusted ADM</t>
  </si>
  <si>
    <t>Soldotna El CS AADM</t>
  </si>
  <si>
    <t>FY28 Projected In-Kind Chargeable Costs</t>
  </si>
  <si>
    <t>Soldotna Elementary Charter</t>
  </si>
  <si>
    <t xml:space="preserve">District </t>
  </si>
  <si>
    <t>ABC</t>
  </si>
  <si>
    <t>Cost</t>
  </si>
  <si>
    <t>In-Kind &amp; Rent Summary Information</t>
  </si>
  <si>
    <t xml:space="preserve">Additional </t>
  </si>
  <si>
    <t>Less</t>
  </si>
  <si>
    <t>Elligible</t>
  </si>
  <si>
    <t>Allowable</t>
  </si>
  <si>
    <t>In-kind</t>
  </si>
  <si>
    <t>Per AADM</t>
  </si>
  <si>
    <t>Aurora Borealis</t>
  </si>
  <si>
    <t>FY28 Projected Revenue</t>
  </si>
  <si>
    <t>Soldotna El Charter</t>
  </si>
  <si>
    <t>Preliminary Foundation</t>
  </si>
  <si>
    <t>Preliminary Quality Schools</t>
  </si>
  <si>
    <t xml:space="preserve">Preliminary Additional Allowable </t>
  </si>
  <si>
    <t>Soldotna Elementary – Title I History &amp; FY28 Planning Context</t>
  </si>
  <si>
    <t>Conclusion for the FY28 charter budget: keep Title I-A revenue at $0 in the base case until KPBSD Federal Programs confirms FY28 eligibility and a school-level allocation. Historical records show Title I-funded staffing and activities, but recent Alaska DEED report cards identify Soldotna Elementary as not a Title I school.</t>
  </si>
  <si>
    <t>School-Specific Title I History / Evidence</t>
  </si>
  <si>
    <t>Year / Period</t>
  </si>
  <si>
    <t>Evidence / Status</t>
  </si>
  <si>
    <t>Program / Use</t>
  </si>
  <si>
    <t>Quantified FTE / Amount</t>
  </si>
  <si>
    <t>Budget Interpretation</t>
  </si>
  <si>
    <t>Source Location</t>
  </si>
  <si>
    <t>Source URL</t>
  </si>
  <si>
    <t>Reliability / Caveat</t>
  </si>
  <si>
    <t>2010-11</t>
  </si>
  <si>
    <t>Board-approved staffing</t>
  </si>
  <si>
    <t>Temporary Title I teacher paired with interventionist</t>
  </si>
  <si>
    <t>0.50 FTE Title I</t>
  </si>
  <si>
    <t>Direct evidence that Soldotna Elementary previously had Title I-funded certificated staffing.</t>
  </si>
  <si>
    <t>PDF p.2 (lines describing Soldotna Elementary staffing)</t>
  </si>
  <si>
    <t>Historical staffing; does not establish current eligibility or current dollar allocation.</t>
  </si>
  <si>
    <t>TI-1</t>
  </si>
  <si>
    <t>KPBSD annual staffing report</t>
  </si>
  <si>
    <t>Title I Pre-K special-revenue position</t>
  </si>
  <si>
    <t>1.00 FTE Title I Pre-K</t>
  </si>
  <si>
    <t>Direct school-specific evidence of a full-time Title I-funded position.</t>
  </si>
  <si>
    <t>Historical position; salary/dollar amount not stated in report.</t>
  </si>
  <si>
    <t>TI-2</t>
  </si>
  <si>
    <t>2016-12-05</t>
  </si>
  <si>
    <t>Board-approved new teacher contract</t>
  </si>
  <si>
    <t>Title I Teacher – Soldotna Elementary</t>
  </si>
  <si>
    <t>FTE not stated</t>
  </si>
  <si>
    <t>Confirms a Title I teacher assignment at Soldotna Elementary in 2016.</t>
  </si>
  <si>
    <t>Board agenda item; no PDF page</t>
  </si>
  <si>
    <t>https://egov.kpbsd.org/agenda/2?item=42</t>
  </si>
  <si>
    <t>Position confirmed; no school allocation amount stated.</t>
  </si>
  <si>
    <t>TI-3</t>
  </si>
  <si>
    <t>2017</t>
  </si>
  <si>
    <t>KPBSD Title I communications</t>
  </si>
  <si>
    <t>Listed among KPBSD Title I elementary schools / Title I-funded Pre-K sites</t>
  </si>
  <si>
    <t>Amount not stated</t>
  </si>
  <si>
    <t>Confirms participation in KPBSD Title I programming during this period.</t>
  </si>
  <si>
    <t>Web page / 2017 Title I Pre-K announcement</t>
  </si>
  <si>
    <t>https://kpbsd.org/schools/comm-test/tag/title-i/</t>
  </si>
  <si>
    <t>Historical status; not current funding evidence.</t>
  </si>
  <si>
    <t>TI-4</t>
  </si>
  <si>
    <t>2018-19</t>
  </si>
  <si>
    <t>Alaska DEED Report Card</t>
  </si>
  <si>
    <t>Title I designation = No</t>
  </si>
  <si>
    <t>School-level federal spending: $1,213 per pupil (all federal sources)</t>
  </si>
  <si>
    <t>By 2018-19, DEED no longer identified Soldotna Elementary as a Title I school. Federal spending cannot be assumed to be Title I.</t>
  </si>
  <si>
    <t>State report card</t>
  </si>
  <si>
    <t>https://education.alaska.gov/compass/Report/2018-2019/24/240210</t>
  </si>
  <si>
    <t>Federal $/pupil is NOT Title I-specific.</t>
  </si>
  <si>
    <t>TI-5</t>
  </si>
  <si>
    <t>2022-23</t>
  </si>
  <si>
    <t>School-level federal spending: $1,396 per pupil (all federal sources)</t>
  </si>
  <si>
    <t>Recent state designation argues against assuming a direct Title I school allocation.</t>
  </si>
  <si>
    <t>https://education.alaska.gov/compass/Report/2022-2023/24/240210</t>
  </si>
  <si>
    <t>TI-6</t>
  </si>
  <si>
    <t>2023-02-23</t>
  </si>
  <si>
    <t>KPSAA agenda</t>
  </si>
  <si>
    <t>Coding Club and Leadership Club approved with Title I funds</t>
  </si>
  <si>
    <t>Shows Title I funds were used for specific Soldotna Elementary activities even though DEED's 2022-23 report card lists the school as not Title I; District should explain funding mechanism.</t>
  </si>
  <si>
    <t>Potentially District-level/set-aside or legacy funding; not evidence of a recurring school allocation.</t>
  </si>
  <si>
    <t>TI-7</t>
  </si>
  <si>
    <t>2023-24</t>
  </si>
  <si>
    <t>No Title I school designation in the state report card.</t>
  </si>
  <si>
    <t>https://education.alaska.gov/compass/Report/2023-2024/24/240210</t>
  </si>
  <si>
    <t>Current/recent official state status.</t>
  </si>
  <si>
    <t>TI-8</t>
  </si>
  <si>
    <t>School-level federal spending: $515 per pupil (all federal sources)</t>
  </si>
  <si>
    <t>Most recent completed-year state report found. Do not treat federal spending as Title I.</t>
  </si>
  <si>
    <t>TI-9</t>
  </si>
  <si>
    <t>Current KPBSD site (2026)</t>
  </si>
  <si>
    <t>School website text</t>
  </si>
  <si>
    <t>States that students have access to 'remedial Title 1 services'</t>
  </si>
  <si>
    <t>Indicates Title I-related services may still be provided, but this conflicts with DEED's recent 'Title I: No' designation and is not sufficient to budget revenue.</t>
  </si>
  <si>
    <t>Current Soldotna Elementary web page</t>
  </si>
  <si>
    <t>https://kpbsd.org/schools/soldotna-elementary/</t>
  </si>
  <si>
    <t>Could be legacy wording or District-provided services; confirm with Federal Programs.</t>
  </si>
  <si>
    <t>TI-10</t>
  </si>
  <si>
    <t>KPBSD Districtwide Title I-A Expenditures – Context Only</t>
  </si>
  <si>
    <t>Fiscal Year</t>
  </si>
  <si>
    <t>Title I-A Basic</t>
  </si>
  <si>
    <t>Parent Involvement</t>
  </si>
  <si>
    <t>Pre-K</t>
  </si>
  <si>
    <t>Homeless</t>
  </si>
  <si>
    <t>School Improvement</t>
  </si>
  <si>
    <t>Other / Admin / Neglected</t>
  </si>
  <si>
    <t>Total ALN 84.010</t>
  </si>
  <si>
    <t>FY22</t>
  </si>
  <si>
    <t>FY22 Single Audit, printed p.9 / PDF p.12</t>
  </si>
  <si>
    <t>FY23</t>
  </si>
  <si>
    <t>FY23 Single Audit, printed p.9 / PDF p.12</t>
  </si>
  <si>
    <t>FY24</t>
  </si>
  <si>
    <t>FY24 Single Audit, printed p.9 / PDF p.12</t>
  </si>
  <si>
    <t>FY25</t>
  </si>
  <si>
    <t>FY25 Single Audit, printed p.6 / PDF p.9</t>
  </si>
  <si>
    <t>Districtwide source URLs (these totals are NOT school-specific allocations):</t>
  </si>
  <si>
    <t>https://kpbsd.org/wp-content/uploads/departments/finance/annual-comprehensive-financial-report/Kenai-Peninsula-Borough-School-District-Single-Audit-22.pdf</t>
  </si>
  <si>
    <t>https://kpbsd.org/wp-content/uploads/departments/finance/annual-comprehensive-financial-report/FY23-Single_Audit.pdf</t>
  </si>
  <si>
    <t>https://kpbsd.org/wp-content/uploads/departments/finance/annual-comprehensive-financial-report/KPBSD-Single-Audit-24.pdf</t>
  </si>
  <si>
    <t>https://kpbsd.org/wp-content/uploads/departments/finance/annual-comprehensive-financial-report/Kenai-Peninsula-Borough-School-District-Single-Audit-25-S.pdf</t>
  </si>
  <si>
    <t>FY28 Budget Treatment / Recommended Follow-Up</t>
  </si>
  <si>
    <t>Recommended Treatment</t>
  </si>
  <si>
    <t>Reason</t>
  </si>
  <si>
    <t>FY28 Title I-A revenue in base budget</t>
  </si>
  <si>
    <t>No Title I amount appears in the District FY28 workbooks; recent DEED report cards identify Soldotna Elementary as not Title I.</t>
  </si>
  <si>
    <t>TI-8 / TI-9</t>
  </si>
  <si>
    <t>Upside / supplemental scenario</t>
  </si>
  <si>
    <t>TBD only after KPBSD confirmation</t>
  </si>
  <si>
    <t>Historical Title I-funded staffing/services show that supplemental support has existed, but it is not a reliable recurring amount.</t>
  </si>
  <si>
    <t>TI-1 through TI-10</t>
  </si>
  <si>
    <t>Eligibility / allocation rule</t>
  </si>
  <si>
    <t>Confirm with KPBSD Federal Programs</t>
  </si>
  <si>
    <t>Alaska DEED states a school with poverty &gt;=35% or the district poverty average (whichever is lower) may be eligible for Targeted Assistance, but districts rank and serve eligible schools and funds may be exhausted before all eligible schools receive allocations.</t>
  </si>
  <si>
    <t>Alaska DEED Title I-A guidance</t>
  </si>
  <si>
    <t>Recommended KPBSD request</t>
  </si>
  <si>
    <t>Ask for FY24-FY27 school-level Title I-A allocations/expenditures and FY28 conversion-school eligibility</t>
  </si>
  <si>
    <t>Request the anticipated FY28 per-pupil allocation (if any), set-asides, program model, and whether charter conversion affects eligibility.</t>
  </si>
  <si>
    <t>Planning recommendation</t>
  </si>
  <si>
    <t>Alaska DEED Title I-A guidance URL</t>
  </si>
  <si>
    <t>Eligibility and within-district allocation context</t>
  </si>
  <si>
    <t>Nice to Haves / Ideas to Explore</t>
  </si>
  <si>
    <t>Optional programs and staffing ideas that are not included in the FY28 base budget. Costs are planning estimates intended to support future APC discussion, grant development, fundraising, and KPBSD budget conversations.</t>
  </si>
  <si>
    <t>Planning Inputs</t>
  </si>
  <si>
    <t>Input</t>
  </si>
  <si>
    <t>Option</t>
  </si>
  <si>
    <t>Estimated Annual Cost</t>
  </si>
  <si>
    <t>Links to FY28 District planning enrollment</t>
  </si>
  <si>
    <t>FY28 Budget Model</t>
  </si>
  <si>
    <t>6 Clubs / Academic Teams</t>
  </si>
  <si>
    <t>FY28 KPEA Step L / C+36 or M</t>
  </si>
  <si>
    <t>Staffing Plan / S6 p.19</t>
  </si>
  <si>
    <t>Planning point</t>
  </si>
  <si>
    <t>2-Day Tutoring + Enrichment</t>
  </si>
  <si>
    <t>Teacher contract days</t>
  </si>
  <si>
    <t>Normal maximum teacher contract length</t>
  </si>
  <si>
    <t>KPEA Final Agreement p.3</t>
  </si>
  <si>
    <t>3-Day Structured Program</t>
  </si>
  <si>
    <t>Planning workday divisor (hours)</t>
  </si>
  <si>
    <t>Used only to estimate prorated hourly cost; KPEA workday is 6.5–7.5 hours</t>
  </si>
  <si>
    <t>KPEA §470 / planning</t>
  </si>
  <si>
    <t>0.5 FTE Counselor / SEL</t>
  </si>
  <si>
    <t>Teacher hourly equivalent</t>
  </si>
  <si>
    <t>Salary ÷ contract days ÷ planning workday hours</t>
  </si>
  <si>
    <t>1.0 FTE Counselor / SEL</t>
  </si>
  <si>
    <t>Employee benefits ÷ regular salaries</t>
  </si>
  <si>
    <t>Staffing Plan / S1</t>
  </si>
  <si>
    <t>Planning proxy</t>
  </si>
  <si>
    <t>1.0 FTE Classified Support</t>
  </si>
  <si>
    <t>KPESA Range 9, Step E hourly</t>
  </si>
  <si>
    <t>Proxy for Tutor/Instructional / student-support-type classified work</t>
  </si>
  <si>
    <t>KPESA FY28 Salary / S7 p.22</t>
  </si>
  <si>
    <t>Blended annual hours / classified FTE</t>
  </si>
  <si>
    <t>Existing workbook planning assumption</t>
  </si>
  <si>
    <t>KPEA FY28 extracurricular Range 1 fee</t>
  </si>
  <si>
    <t>Current FY28 nominal fee</t>
  </si>
  <si>
    <t>KPEA Final Agreement p.22</t>
  </si>
  <si>
    <t>KPEA FY28 extracurricular Range 2 fee</t>
  </si>
  <si>
    <t>Base net operating budget</t>
  </si>
  <si>
    <t>Current FY28 budget model after District charges</t>
  </si>
  <si>
    <t>Potential After-School / Enrichment Options</t>
  </si>
  <si>
    <t>Illustrative Program</t>
  </si>
  <si>
    <t>Staffing / Frequency</t>
  </si>
  <si>
    <t>Staff Compensation</t>
  </si>
  <si>
    <t>Materials / Snacks</t>
  </si>
  <si>
    <t>Estimated Direct Annual Cost</t>
  </si>
  <si>
    <t>What This Could Look Like</t>
  </si>
  <si>
    <t>Key Caveats</t>
  </si>
  <si>
    <t>Source / Example</t>
  </si>
  <si>
    <t>A1</t>
  </si>
  <si>
    <t>Club / Academic Team Model</t>
  </si>
  <si>
    <t>6 clubs or academic teams; one sponsor each</t>
  </si>
  <si>
    <t>Low-cost mix of Battle of the Books, forensics, coding, art, intramurals, STEM club, or similar short-duration activities.</t>
  </si>
  <si>
    <t>Actual KPEA range depends on the approved activity. Transportation and unusual custodial costs are not included.</t>
  </si>
  <si>
    <t>KPEA Appendix B; Soldotna Elementary currently lists extracurricular programs including after-school gymnastics.</t>
  </si>
  <si>
    <t>A2</t>
  </si>
  <si>
    <t>Light Tutoring + Enrichment</t>
  </si>
  <si>
    <t>2 teachers + 1 classified tutor; 2 days/week; 1.5 hr/day; 30 weeks</t>
  </si>
  <si>
    <t>Two afternoons per week focused on reading/math tutoring, homework help, and rotating enrichment.</t>
  </si>
  <si>
    <t>Teacher pay is modeled as prorated per diem under KPEA §405. Classified tutor uses Range 9 Step E as a proxy. No late bus included.</t>
  </si>
  <si>
    <t>KPEA §405; KPBSD schools currently use after-school tutoring; historic 'After the Bell' at Soldotna Elementary.</t>
  </si>
  <si>
    <t>A3</t>
  </si>
  <si>
    <t>Structured 3-Day Program</t>
  </si>
  <si>
    <t>3 teachers + 1 classified tutor; 3 days/week; 1.5 hr/day; 30 weeks</t>
  </si>
  <si>
    <t>More consistent extended-day model combining tutoring, STREAM enrichment, clubs, and homework support.</t>
  </si>
  <si>
    <t>No transportation/late-bus cost included. Any incremental food service, custodial, or facility costs would need KPBSD confirmation.</t>
  </si>
  <si>
    <t>KPEA §405; Redoubt and other KPBSD schools use after-school tutoring models.</t>
  </si>
  <si>
    <t>A4</t>
  </si>
  <si>
    <t>Community-Partner Model</t>
  </si>
  <si>
    <t>Partner-operated after-school care / homework help</t>
  </si>
  <si>
    <t>Explore Boys &amp; Girls Club, local nonprofit, Kenaitze, or other partner model using school space.</t>
  </si>
  <si>
    <t>Could be contract-, grant-, family-fee-, or partner-funded. No current contract price was identified.</t>
  </si>
  <si>
    <t>KPBSD historically documented After the Bell tutoring/homework help at Soldotna Elementary and a Boys &amp; Girls Club space-sharing arrangement.</t>
  </si>
  <si>
    <t>Potential SEL / Student-Support Staffing Options</t>
  </si>
  <si>
    <t>Potential Role</t>
  </si>
  <si>
    <t>FTE / Hours</t>
  </si>
  <si>
    <t>Salary / Wages</t>
  </si>
  <si>
    <t>Benefits / Employer Load</t>
  </si>
  <si>
    <t>Other Program Support</t>
  </si>
  <si>
    <t>Approx. Student Ratio</t>
  </si>
  <si>
    <t>How It Could Be Used</t>
  </si>
  <si>
    <t>Part-Time School Counselor / SEL Specialist</t>
  </si>
  <si>
    <t>Tier 1 schoolwide SEL support, small groups, teacher consultation, family support, transition/crisis response, and coordination of referrals.</t>
  </si>
  <si>
    <t>KPEA salary schedule; KPEA recognizes National Certified School Counselor / School Social Worker certifications. ASCA recommends 250:1.</t>
  </si>
  <si>
    <t>Full-Time School Counselor / SEL Specialist</t>
  </si>
  <si>
    <t>A dedicated counselor could support schoolwide SEL implementation and direct/indirect student services while also training and supporting staff.</t>
  </si>
  <si>
    <t>At 290 students, 1.0 FTE would be about 290:1, relatively close to ASCA's recommended 250:1 ratio.</t>
  </si>
  <si>
    <t>Classified Student-Support Liaison (proxy)</t>
  </si>
  <si>
    <t>N/A</t>
  </si>
  <si>
    <t>Lower-cost student-support position focused on check-ins, attendance/family outreach, behavior/SEL supports, mentoring, and connection to community resources.</t>
  </si>
  <si>
    <t>Cost uses KPESA Range 9 Step E and the workbook's 1,600-hour classified planning assumption. Exact KPBSD classification/calendar should be confirmed.</t>
  </si>
  <si>
    <t>Part-Time Classified Student-Support Liaison</t>
  </si>
  <si>
    <t>A half-time classified support position could supplement teacher-led SEL and provide targeted support without committing to a full counselor position.</t>
  </si>
  <si>
    <t>Same planning proxy as S3; exact classification and benefits need KPBSD HR confirmation.</t>
  </si>
  <si>
    <t>Community / Agency Partnership</t>
  </si>
  <si>
    <t>Explore contracted or partner-provided counseling, mentoring, family support, behavioral consultation, or targeted small-group services.</t>
  </si>
  <si>
    <t>Redoubt Elementary reports partnerships with Kenaitze and the Lions Club to support social-emotional and behavioral needs; KPBSD also has an At-Risk Student Support Specialist serving the Central Peninsula.</t>
  </si>
  <si>
    <t>Other Ideas to Explore</t>
  </si>
  <si>
    <t>Idea</t>
  </si>
  <si>
    <t>Potential Approach</t>
  </si>
  <si>
    <t>Budget Treatment</t>
  </si>
  <si>
    <t>Notes / Example</t>
  </si>
  <si>
    <t>Snacks / supper</t>
  </si>
  <si>
    <t>Use program funds, family contribution, grant, or nutrition-program eligibility if available.</t>
  </si>
  <si>
    <t>Included only as simple materials/snacks allowance above</t>
  </si>
  <si>
    <t>Confirm what can be provided through KPBSD Nutrition Services.</t>
  </si>
  <si>
    <t>Grant-funded enrichment</t>
  </si>
  <si>
    <t>Pursue Title I (if eligible), Title IV-A, Migrant, 21st CCLC or local grants where applicable.</t>
  </si>
  <si>
    <t>Upside only; not in base budget</t>
  </si>
  <si>
    <t>Do not commit recurring staffing to one-time grant revenue without a sustainability plan.</t>
  </si>
  <si>
    <t>Local partner instructors</t>
  </si>
  <si>
    <t>Bring in artists, STEM professionals, tradespeople, tribal/community partners, or nonprofits.</t>
  </si>
  <si>
    <t>TBD / project-specific</t>
  </si>
  <si>
    <t>Could expand STREAM offerings without creating a permanent FTE.</t>
  </si>
  <si>
    <t>Counselor + classified support blend</t>
  </si>
  <si>
    <t>Combine 0.5 FTE counselor with 0.5 FTE classified liaison.</t>
  </si>
  <si>
    <t>Can be modeled as S1 + S4</t>
  </si>
  <si>
    <t>May provide more coverage/flexibility than one role alone, depending on hiring availability.</t>
  </si>
  <si>
    <t>Sources / Examples</t>
  </si>
  <si>
    <t>ID</t>
  </si>
  <si>
    <t>URL</t>
  </si>
  <si>
    <t>Supports</t>
  </si>
  <si>
    <t>Key Takeaway</t>
  </si>
  <si>
    <t>Caveat</t>
  </si>
  <si>
    <t>Workbook Link</t>
  </si>
  <si>
    <t>Use</t>
  </si>
  <si>
    <t>N1</t>
  </si>
  <si>
    <t>After-school clubs / extracurricular fees</t>
  </si>
  <si>
    <t>Extracurricular programs are separate outside-workday contracts. FY28 Range 1 = $420.09 and Range 2 = $523.93.</t>
  </si>
  <si>
    <t>Actual approved range varies by activity.</t>
  </si>
  <si>
    <t>KPEA FY28 Salary</t>
  </si>
  <si>
    <t>N2</t>
  </si>
  <si>
    <t>TA dated 2025-04-16, p.1</t>
  </si>
  <si>
    <t>Tutoring / teacher extended-day pay</t>
  </si>
  <si>
    <t>Additional educational employment is paid at the teacher's per diem or prorated per diem rate.</t>
  </si>
  <si>
    <t>Hourly equivalent in this tab uses a 7.5-hour planning divisor.</t>
  </si>
  <si>
    <t>Staffing Plan / KPEA FY28 Salary</t>
  </si>
  <si>
    <t>A2/A3</t>
  </si>
  <si>
    <t>N3</t>
  </si>
  <si>
    <t>Salary schedule p.19; certification language pp.3–4</t>
  </si>
  <si>
    <t>Counselor / SEL specialist salary proxy</t>
  </si>
  <si>
    <t>FY28 teacher/specialist schedule supports certificated counselor-type cost modeling; agreement recognizes counselor/social-work national certifications.</t>
  </si>
  <si>
    <t>Actual salary placement depends on employee experience/education.</t>
  </si>
  <si>
    <t>S1/S2</t>
  </si>
  <si>
    <t>N4</t>
  </si>
  <si>
    <t>KPESA Final Agreement 2026-07-24</t>
  </si>
  <si>
    <t>Range assignments p.19; FY28 salary schedule p.22</t>
  </si>
  <si>
    <t>Classified tutor / student-support wage proxy</t>
  </si>
  <si>
    <t>Range 9 wage schedule provides a planning proxy for Tutor/Instructional / student-support-type work.</t>
  </si>
  <si>
    <t>Exact title, range and annual calendar must be confirmed with KPBSD HR.</t>
  </si>
  <si>
    <t>KPESA FY28 Salary</t>
  </si>
  <si>
    <t>A2/A3/S3/S4</t>
  </si>
  <si>
    <t>N5</t>
  </si>
  <si>
    <t>Soldotna Elementary School website</t>
  </si>
  <si>
    <t>Current school page</t>
  </si>
  <si>
    <t>Local after-school precedent</t>
  </si>
  <si>
    <t>Lists extracurricular programs including the district's only elementary after-school gymnastics program.</t>
  </si>
  <si>
    <t>No cost data provided.</t>
  </si>
  <si>
    <t>—</t>
  </si>
  <si>
    <t>N6</t>
  </si>
  <si>
    <t>KPBSD lease/program communication</t>
  </si>
  <si>
    <t>2012 After the Bell / Boys &amp; Girls Club item</t>
  </si>
  <si>
    <t>https://kpbsd.org/WorkArea/DownloadAsset.aspx?id=25768</t>
  </si>
  <si>
    <t>Historical</t>
  </si>
  <si>
    <t>Documents 'After the Bell' after-school tutoring/homework help at Soldotna Elementary and Boys &amp; Girls Club space sharing.</t>
  </si>
  <si>
    <t>Historical example only; no current cost or contract.</t>
  </si>
  <si>
    <t>N7</t>
  </si>
  <si>
    <t>Redoubt Elementary School Profile</t>
  </si>
  <si>
    <t>Current school profile</t>
  </si>
  <si>
    <t>https://kpbsd.org/schools/redoubt/school-profile/</t>
  </si>
  <si>
    <t>After-school + SEL partnership example</t>
  </si>
  <si>
    <t>Redoubt reports after-school math/ELA tutoring and partnerships with Kenaitze/Lions Club for social-emotional and behavioral needs.</t>
  </si>
  <si>
    <t>Program scale/cost not provided.</t>
  </si>
  <si>
    <t>A2/A3/S5</t>
  </si>
  <si>
    <t>N8</t>
  </si>
  <si>
    <t>KPBSD Elementary Education Staff</t>
  </si>
  <si>
    <t>Current department page</t>
  </si>
  <si>
    <t>https://kpbsd.org/departments/assistant-superintendent/instructional-services/elementary-education/elementary-education-staff/</t>
  </si>
  <si>
    <t>At-risk/student-support model</t>
  </si>
  <si>
    <t>KPBSD has an At-Risk Student Support Specialist providing direct youth/family support and programs such as Winter Connect, Summer Connect, and Dinner Club.</t>
  </si>
  <si>
    <t>District-level role; not a school-level cost quote.</t>
  </si>
  <si>
    <t>S3/S5</t>
  </si>
  <si>
    <t>N9</t>
  </si>
  <si>
    <t>American School Counselor Association</t>
  </si>
  <si>
    <t>Roles &amp; Ratios</t>
  </si>
  <si>
    <t>ASCA recommends a 250:1 student-to-school-counselor ratio; 1.0 FTE at 290 students would be about 290:1.</t>
  </si>
  <si>
    <t>Professional association recommendation, not a KPBSD staffing requirement.</t>
  </si>
  <si>
    <t>Includes principal, 13 classroom teachers, 3 elementary specialists (Music/Science/PE), 0.5 intervention, and 5 SpEd teachers</t>
  </si>
  <si>
    <t>The FY26 Final Budget shows Soldotna Elementary at 34.96 FTE: 22.05 certificated and 12.91 classified. The revised FY28 model proposes 35.51 FTE: 22.50 certificated and 13.01 classified. The model uses 13 classroom teachers, 3 total elementary specialists for Music, Science, and Physical Education (1.0 above the published KPBSD 2.0 specialist baseline at 270–345 students), 0.50 reading/intervention FTE, and 5.0 special education teacher FTE.</t>
  </si>
  <si>
    <t>The base budget now includes a $221,218 planning allowance for district-provided Function 4220 Special Education Support Services, using Soldotna Elementary's FY26 allocation as a proxy. Actual FY28 related-service staffing and charges must be confirmed with KPBSD Finance/Pupil Services.</t>
  </si>
  <si>
    <t>S20</t>
  </si>
  <si>
    <t>To keep the expanded special education and specialist model within the $4.529M net operating budget, discretionary operating allowances are intentionally lean; the model retains only a modest contingency until final FY28 salary, benefit, enrollment, and related-service costs are known.</t>
  </si>
  <si>
    <t>Model</t>
  </si>
  <si>
    <t>No Title I-A revenue is included in the base FY28 budget. Historical records show Soldotna Elementary previously received Title I-funded staffing/services, but recent Alaska DEED reports identify the school as not Title I. FY28 eligibility/allocation would be confirmed with KPBSD Federal Programs before adding revenue.</t>
  </si>
  <si>
    <t>Function 4220 + Other Operating Costs</t>
  </si>
  <si>
    <t>Contingency / Reserve</t>
  </si>
  <si>
    <t>22.5 certificated FTE incl. principal, 13 classroom teachers, 3 elementary specialists (Music/Science/PE), 0.5 intervention, and 5 SpEd teachers</t>
  </si>
  <si>
    <t>Substitute Personnel</t>
  </si>
  <si>
    <t>Reduced planning allowance</t>
  </si>
  <si>
    <t>Lean base-case allowance; revisit when actual staffing and substitute usage are known</t>
  </si>
  <si>
    <t>District-Provided Special Education Support Services (Function 4220)</t>
  </si>
  <si>
    <t>FY26 Soldotna Elementary Function 4220 allocation used as FY28 planning proxy</t>
  </si>
  <si>
    <t>KPBSD FY26 Final Budget</t>
  </si>
  <si>
    <t>Planning assumption for district-managed IEP-related support services; actual FY28 allocation/charge must be confirmed with KPBSD Finance/Pupil Services</t>
  </si>
  <si>
    <t>Staff / Student Travel &amp; Field Experiences</t>
  </si>
  <si>
    <t>Reduced planning allowance; FY26 staff travel $1,140, student travel $0</t>
  </si>
  <si>
    <t>Assumption / S1</t>
  </si>
  <si>
    <t>Supports selected field/STREAM activities</t>
  </si>
  <si>
    <t>Curriculum, STREAM, Supplies &amp; Materials</t>
  </si>
  <si>
    <t>Lean planning allowance; FY26 supplies baseline $27,980</t>
  </si>
  <si>
    <t>Near FY26 supplies baseline; grants/partners could expand STREAM purchases</t>
  </si>
  <si>
    <t>Office / Professional / General Operating Costs</t>
  </si>
  <si>
    <t>Combined lean planning allowance</t>
  </si>
  <si>
    <t>Combines general office and non-IEP professional/technical costs</t>
  </si>
  <si>
    <t>Technology &amp; Equipment</t>
  </si>
  <si>
    <t>Reduced planning allowance; FY26 equipment $0</t>
  </si>
  <si>
    <t>Base case; pursue grants or future operating capacity for larger purchases</t>
  </si>
  <si>
    <t>290 students ÷ 13 classroom teachers; actual grade-level distribution will vary</t>
  </si>
  <si>
    <t>Contingency share of net operating budget</t>
  </si>
  <si>
    <t>Planning assumption at ~290 enrollment; final grade-level distribution will determine classroom need</t>
  </si>
  <si>
    <t>Planning / S3</t>
  </si>
  <si>
    <t>13 classroom teachers; average ~22.3 students per classroom teacher at 290 students</t>
  </si>
  <si>
    <t>Planning/S3/S6</t>
  </si>
  <si>
    <t>Elementary Specialists – Music, Science, Physical Education</t>
  </si>
  <si>
    <t>Charter instructional model: 3.0 total specialist FTE. KPBSD published formula provides 2.0 FTE at enrollment 270–345; the model adds 1.0 FTE for dedicated Science instruction.</t>
  </si>
  <si>
    <t>S3 p.7 + planning assumption</t>
  </si>
  <si>
    <t>Three total specialists provide regular K–6 Music, Science, and Physical Education; 1.0 FTE is above the KPBSD published 2.0 specialist baseline.</t>
  </si>
  <si>
    <t>S3/S6/Planning</t>
  </si>
  <si>
    <t>Special Education Teachers</t>
  </si>
  <si>
    <t>Maintains current FY26 Soldotna budgeted 5.0 FTE; final staffing to be coordinated with KPBSD Pupil Services based on enrolled students and IEP/intensive-service needs.</t>
  </si>
  <si>
    <t>S1 p.135 / planning assumption</t>
  </si>
  <si>
    <t>Model restores 5.0 FTE consistent with the FY26 Soldotna Elementary baseline; actual staffing may change with student service requirements.</t>
  </si>
  <si>
    <t>S1/S6/Planning</t>
  </si>
  <si>
    <t>13 classroom teachers total planning assumption</t>
  </si>
  <si>
    <t>Included in 13 classroom teachers</t>
  </si>
  <si>
    <t>Uses published FY26 staffing formulas as the current public baseline; the charter model intentionally adds 1.0 elementary specialist FTE above the 2.0 formula baseline.</t>
  </si>
  <si>
    <t>Function 4220, printed p.60 (PDF page 70); function definition printed p.238</t>
  </si>
  <si>
    <t>Soldotna Elementary FY26 Special Education Support Services - Student allocation ($221,218) and Function 4220 definition</t>
  </si>
  <si>
    <t>Soldotna Elementary Function 4220 total = $221,218. KPBSD defines Function 4220 to include IEP-related guidance, health, social work, psychological, speech pathology, audiology, physical therapy, and associated salaries/benefits/supplies/equipment/travel.</t>
  </si>
  <si>
    <t>Function 4220 planning proxy</t>
  </si>
  <si>
    <t>Uses Soldotna Elementary FY26 Function 4220 allocation of $221,218 as a provisional FY28 budget assumption.</t>
  </si>
  <si>
    <t>S20. Actual FY28 district-managed related-service staffing and charge methodology should be confirmed with KPBSD Finance/Pupil Services.</t>
  </si>
  <si>
    <t>Uses 3.0 total specialist FTE for Music, Science, and Physical Education.</t>
  </si>
  <si>
    <t>S3 provides a 2.0 FTE specialist baseline at enrollment 270–345; charter plan adds 1.0 FTE above baseline for dedicated Science.</t>
  </si>
  <si>
    <t>Special education teachers</t>
  </si>
  <si>
    <t>S1 p.135; final staffing remains dependent on enrolled students and IEP/intensive-service needs.</t>
  </si>
  <si>
    <t>Uses 5.0 FTE, matching Soldotna Elementary FY26 budgeted staffing.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</si>
</sst>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Red]\(#,##0.00\);\-"/>
    <numFmt numFmtId="165" formatCode="\$#,##0;[Red]\(\$#,##0\);\-"/>
    <numFmt numFmtId="166" formatCode="0.0%;[Red]\(0.0%\);\-"/>
    <numFmt numFmtId="167" formatCode="\$0.00;[Red]\(\$0.00\);\-"/>
    <numFmt numFmtId="168" formatCode="0.00;[Red]\(0.00\);\-"/>
    <numFmt numFmtId="169" formatCode="#,##0;[Red]\(#,##0\);\-"/>
    <numFmt numFmtId="170" formatCode="\$0.00"/>
    <numFmt numFmtId="171" formatCode="0.0"/>
    <numFmt numFmtId="172" formatCode="_(* #,##0.000_);_(* \(#,##0.000\);_(* &quot;-&quot;??_);_(@_)"/>
    <numFmt numFmtId="173" formatCode="_(&quot;$&quot;* #,##0_);_(&quot;$&quot;* \(#,##0\);_(&quot;$&quot;* &quot;-&quot;??_);_(@_)"/>
    <numFmt numFmtId="174" formatCode="#,##0.000"/>
    <numFmt numFmtId="175" formatCode="0.000"/>
    <numFmt numFmtId="176" formatCode="\$#,##0"/>
    <numFmt numFmtId="177" formatCode="0.0%"/>
    <numFmt numFmtId="178" formatCode="\$#,##0.00"/>
  </numFmts>
  <fonts count="29">
    <font>
      <sz val="11"/>
      <name val="Carlito"/>
    </font>
    <font>
      <b/>
      <sz val="16"/>
      <color rgb="FFFFFFFF"/>
      <name val="Carlito"/>
    </font>
    <font>
      <i/>
      <sz val="10"/>
      <color rgb="FF1F2937"/>
      <name val="Carlito"/>
    </font>
    <font>
      <b/>
      <sz val="11"/>
      <color rgb="FFFFFFFF"/>
      <name val="Carlito"/>
    </font>
    <font>
      <sz val="9"/>
      <color rgb="FFFF0000"/>
      <name val="Carlito"/>
    </font>
    <font>
      <sz val="11"/>
      <color rgb="FF0000FF"/>
      <name val="Carlito"/>
    </font>
    <font>
      <b/>
      <sz val="11"/>
      <name val="Carlito"/>
    </font>
    <font>
      <b/>
      <sz val="11"/>
      <color rgb="FF0000FF"/>
      <name val="Carlito"/>
    </font>
    <font>
      <sz val="11"/>
      <color rgb="FF008000"/>
      <name val="Carlito"/>
    </font>
    <font>
      <sz val="11"/>
      <color rgb="FF000000"/>
      <name val="Carlito"/>
    </font>
    <font>
      <b/>
      <sz val="11"/>
      <color rgb="FF008000"/>
      <name val="Carlito"/>
    </font>
    <font>
      <b/>
      <sz val="11"/>
      <color rgb="FF000000"/>
      <name val="Carlito"/>
    </font>
    <font>
      <b/>
      <sz val="11"/>
      <color rgb="FF17365D"/>
      <name val="Carlito"/>
    </font>
    <font>
      <sz val="11"/>
      <name val="Carlito"/>
    </font>
    <font>
      <b/>
      <sz val="11"/>
      <color theme="1"/>
      <name val="Calibri"/>
    </font>
    <font>
      <sz val="10"/>
      <name val="Arial"/>
    </font>
    <font>
      <b/>
      <sz val="10"/>
      <name val="Arial"/>
    </font>
    <font>
      <i/>
      <sz val="10"/>
      <color rgb="FFFF0000"/>
      <name val="Arial"/>
    </font>
    <font>
      <b/>
      <sz val="10"/>
      <name val="Arial"/>
    </font>
    <font>
      <b/>
      <sz val="10"/>
      <color indexed="12"/>
      <name val="Arial"/>
    </font>
    <font>
      <sz val="10"/>
      <color indexed="12"/>
      <name val="Arial"/>
    </font>
    <font>
      <b/>
      <i/>
      <sz val="10"/>
      <name val="Arial"/>
    </font>
    <font>
      <b/>
      <sz val="11"/>
      <color theme="1"/>
      <name val="Calibri"/>
    </font>
    <font>
      <sz val="11"/>
      <color theme="1"/>
      <name val="Calibri"/>
    </font>
    <font>
      <sz val="11"/>
      <color theme="1"/>
      <name val="Calibri"/>
    </font>
    <font>
      <sz val="11"/>
      <color theme="10"/>
      <name val="Carlito"/>
    </font>
    <font>
      <b/>
      <sz val="15"/>
      <color rgb="FFFFFFFF"/>
      <name val="Carlito"/>
    </font>
    <font>
      <i/>
      <sz val="11"/>
      <color rgb="FF404040"/>
      <name val="Carlito"/>
    </font>
    <font>
      <sz val="11"/>
      <color rgb="FF0563C1"/>
      <name val="Carlito"/>
    </font>
  </fonts>
  <fills count="19">
    <fill>
      <patternFill patternType="none"/>
    </fill>
    <fill>
      <patternFill patternType="gray125"/>
    </fill>
    <fill>
      <patternFill patternType="solid">
        <fgColor rgb="FF17365D"/>
      </patternFill>
    </fill>
    <fill>
      <patternFill patternType="solid">
        <fgColor rgb="FFEAF1F8"/>
      </patternFill>
    </fill>
    <fill>
      <patternFill patternType="solid">
        <fgColor rgb="FF1F6D70"/>
      </patternFill>
    </fill>
    <fill>
      <patternFill patternType="solid">
        <fgColor rgb="FFE7F0E8"/>
      </patternFill>
    </fill>
    <fill>
      <patternFill patternType="solid">
        <fgColor rgb="FFFFF2CC"/>
      </patternFill>
    </fill>
    <fill>
      <patternFill patternType="solid">
        <fgColor rgb="FFFFC000"/>
      </patternFill>
    </fill>
    <fill>
      <patternFill patternType="solid">
        <fgColor rgb="FFFFFF00"/>
      </patternFill>
    </fill>
    <fill>
      <patternFill patternType="solid">
        <fgColor theme="6" tint="0.39997558519241921"/>
        <bgColor indexed="65"/>
      </patternFill>
    </fill>
    <fill>
      <patternFill patternType="solid">
        <fgColor theme="9" tint="0.59993285927915285"/>
        <bgColor indexed="65"/>
      </patternFill>
    </fill>
    <fill>
      <patternFill patternType="solid">
        <fgColor rgb="FF17365D"/>
      </patternFill>
    </fill>
    <fill>
      <patternFill patternType="solid">
        <fgColor rgb="FFD9EAF7"/>
      </patternFill>
    </fill>
    <fill>
      <patternFill patternType="solid">
        <fgColor rgb="FFFFF2CC"/>
      </patternFill>
    </fill>
    <fill>
      <patternFill patternType="solid">
        <fgColor rgb="FFDDEBF7"/>
      </patternFill>
    </fill>
    <fill>
      <patternFill patternType="solid">
        <fgColor rgb="FF17365D"/>
      </patternFill>
    </fill>
    <fill>
      <patternFill patternType="solid">
        <fgColor rgb="FFEAF2F8"/>
      </patternFill>
    </fill>
    <fill>
      <patternFill patternType="solid">
        <fgColor rgb="FFD9EAF7"/>
      </patternFill>
    </fill>
    <fill>
      <patternFill patternType="solid">
        <fgColor rgb="FFFFF2CC"/>
      </patternFill>
    </fill>
  </fills>
  <borders count="6">
    <border>
      <left/>
      <right/>
      <top/>
      <bottom/>
      <diagonal/>
    </border>
    <border>
      <left/>
      <right/>
      <top/>
      <bottom/>
      <diagonal/>
    </border>
    <border>
      <left/>
      <right/>
      <top style="thin">
        <color rgb="FF17365D"/>
      </top>
      <bottom/>
      <diagonal/>
    </border>
    <border>
      <left/>
      <right/>
      <top style="thin">
        <color indexed="64"/>
      </top>
      <bottom/>
      <diagonal/>
    </border>
    <border>
      <left/>
      <right/>
      <top/>
      <bottom style="thin">
        <color indexed="64"/>
      </bottom>
      <diagonal/>
    </border>
    <border>
      <left/>
      <right/>
      <top/>
      <bottom style="double">
        <color indexed="64"/>
      </bottom>
      <diagonal/>
    </border>
  </borders>
  <cellStyleXfs count="8">
    <xf numFmtId="0" fontId="0" fillId="0" borderId="0"/>
    <xf numFmtId="43" fontId="13" fillId="0" borderId="0" applyFont="0" applyFill="0" applyBorder="0" applyAlignment="0" applyProtection="0"/>
    <xf numFmtId="44" fontId="13" fillId="0" borderId="0" applyFont="0" applyFill="0" applyBorder="0" applyAlignment="0" applyProtection="0"/>
    <xf numFmtId="9" fontId="13" fillId="0" borderId="0" applyFont="0" applyFill="0" applyBorder="0" applyAlignment="0" applyProtection="0"/>
    <xf numFmtId="0" fontId="15" fillId="0" borderId="1"/>
    <xf numFmtId="43" fontId="15" fillId="0" borderId="1" applyFont="0" applyFill="0" applyBorder="0" applyAlignment="0" applyProtection="0"/>
    <xf numFmtId="44" fontId="15" fillId="0" borderId="1" applyFont="0" applyFill="0" applyBorder="0" applyAlignment="0" applyProtection="0"/>
    <xf numFmtId="0" fontId="25" fillId="0" borderId="0" applyNumberFormat="0" applyFill="0" applyBorder="0" applyAlignment="0" applyProtection="0"/>
  </cellStyleXfs>
  <cellXfs count="162">
    <xf numFmtId="0" fontId="0" fillId="0" borderId="0" xfId="0"/>
    <xf numFmtId="0" fontId="3" fillId="2" borderId="0" xfId="0" applyFont="1" applyFill="1" applyAlignment="1">
      <alignment horizontal="center" vertical="center" wrapText="1"/>
    </xf>
    <xf numFmtId="0" fontId="3" fillId="2" borderId="0" xfId="0" applyFont="1" applyFill="1" applyAlignment="1">
      <alignment horizontal="center" vertical="top"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vertical="top"/>
    </xf>
    <xf numFmtId="164" fontId="8" fillId="0" borderId="0" xfId="0" applyNumberFormat="1" applyFont="1" applyAlignment="1">
      <alignment vertical="top" wrapText="1"/>
    </xf>
    <xf numFmtId="165" fontId="8" fillId="0" borderId="0" xfId="0" applyNumberFormat="1" applyFont="1" applyAlignment="1">
      <alignment vertical="top" wrapText="1"/>
    </xf>
    <xf numFmtId="165" fontId="8" fillId="0" borderId="0" xfId="0" applyNumberFormat="1" applyFont="1" applyAlignment="1">
      <alignment vertical="top"/>
    </xf>
    <xf numFmtId="168" fontId="0" fillId="0" borderId="0" xfId="0" applyNumberFormat="1" applyAlignment="1">
      <alignment vertical="top"/>
    </xf>
    <xf numFmtId="168" fontId="8" fillId="0" borderId="0" xfId="0" applyNumberFormat="1" applyFont="1" applyAlignment="1">
      <alignment vertical="top"/>
    </xf>
    <xf numFmtId="0" fontId="6" fillId="0" borderId="2" xfId="0" applyFont="1" applyBorder="1" applyAlignment="1">
      <alignment vertical="top" wrapText="1"/>
    </xf>
    <xf numFmtId="165" fontId="11" fillId="0" borderId="2" xfId="0" applyNumberFormat="1" applyFont="1" applyBorder="1" applyAlignment="1">
      <alignment vertical="top" wrapText="1"/>
    </xf>
    <xf numFmtId="165" fontId="5" fillId="6" borderId="0" xfId="0" applyNumberFormat="1" applyFont="1" applyFill="1" applyAlignment="1">
      <alignment vertical="top" wrapText="1"/>
    </xf>
    <xf numFmtId="165" fontId="9" fillId="0" borderId="0" xfId="0" applyNumberFormat="1" applyFont="1" applyAlignment="1">
      <alignment vertical="top" wrapText="1"/>
    </xf>
    <xf numFmtId="0" fontId="6" fillId="5" borderId="2" xfId="0" applyFont="1" applyFill="1" applyBorder="1" applyAlignment="1">
      <alignment vertical="top" wrapText="1"/>
    </xf>
    <xf numFmtId="165" fontId="11" fillId="5" borderId="2" xfId="0" applyNumberFormat="1" applyFont="1" applyFill="1" applyBorder="1" applyAlignment="1">
      <alignment vertical="top" wrapText="1"/>
    </xf>
    <xf numFmtId="171" fontId="9" fillId="0" borderId="0" xfId="0" applyNumberFormat="1" applyFont="1" applyAlignment="1">
      <alignment vertical="top" wrapText="1"/>
    </xf>
    <xf numFmtId="166" fontId="9" fillId="0" borderId="0" xfId="0" applyNumberFormat="1" applyFont="1" applyAlignment="1">
      <alignment vertical="top" wrapText="1"/>
    </xf>
    <xf numFmtId="166" fontId="5" fillId="6" borderId="0" xfId="0" applyNumberFormat="1" applyFont="1" applyFill="1" applyAlignment="1">
      <alignment vertical="top"/>
    </xf>
    <xf numFmtId="170" fontId="5" fillId="0" borderId="0" xfId="0" applyNumberFormat="1" applyFont="1" applyAlignment="1">
      <alignment vertical="top"/>
    </xf>
    <xf numFmtId="169" fontId="5" fillId="6" borderId="0" xfId="0" applyNumberFormat="1" applyFont="1" applyFill="1" applyAlignment="1">
      <alignment vertical="top"/>
    </xf>
    <xf numFmtId="166" fontId="8" fillId="0" borderId="0" xfId="0" applyNumberFormat="1" applyFont="1" applyAlignment="1">
      <alignment vertical="top"/>
    </xf>
    <xf numFmtId="168" fontId="0" fillId="0" borderId="0" xfId="0" applyNumberFormat="1" applyAlignment="1">
      <alignment vertical="top" wrapText="1"/>
    </xf>
    <xf numFmtId="0" fontId="6" fillId="0" borderId="2" xfId="0" applyFont="1" applyBorder="1" applyAlignment="1">
      <alignment vertical="top"/>
    </xf>
    <xf numFmtId="168" fontId="6" fillId="0" borderId="2" xfId="0" applyNumberFormat="1" applyFont="1" applyBorder="1" applyAlignment="1">
      <alignment vertical="top"/>
    </xf>
    <xf numFmtId="165" fontId="6" fillId="0" borderId="2" xfId="0" applyNumberFormat="1" applyFont="1" applyBorder="1" applyAlignment="1">
      <alignment vertical="top"/>
    </xf>
    <xf numFmtId="165" fontId="0" fillId="0" borderId="0" xfId="0" applyNumberFormat="1" applyAlignment="1">
      <alignment vertical="top" wrapText="1"/>
    </xf>
    <xf numFmtId="0" fontId="6" fillId="5" borderId="2" xfId="0" applyFont="1" applyFill="1" applyBorder="1" applyAlignment="1">
      <alignment vertical="top"/>
    </xf>
    <xf numFmtId="168" fontId="10" fillId="5" borderId="2" xfId="0" applyNumberFormat="1" applyFont="1" applyFill="1" applyBorder="1" applyAlignment="1">
      <alignment vertical="top"/>
    </xf>
    <xf numFmtId="168" fontId="6" fillId="5" borderId="2" xfId="0" applyNumberFormat="1" applyFont="1" applyFill="1" applyBorder="1" applyAlignment="1">
      <alignment vertical="top"/>
    </xf>
    <xf numFmtId="165" fontId="5" fillId="0" borderId="0" xfId="0" applyNumberFormat="1" applyFont="1" applyAlignment="1">
      <alignment vertical="top" wrapText="1"/>
    </xf>
    <xf numFmtId="165" fontId="7" fillId="0" borderId="2" xfId="0" applyNumberFormat="1" applyFont="1" applyBorder="1" applyAlignment="1">
      <alignment vertical="top" wrapText="1"/>
    </xf>
    <xf numFmtId="169" fontId="5" fillId="0" borderId="0" xfId="0" applyNumberFormat="1" applyFont="1" applyAlignment="1">
      <alignment vertical="top"/>
    </xf>
    <xf numFmtId="168" fontId="5" fillId="0" borderId="0" xfId="0" applyNumberFormat="1" applyFont="1" applyAlignment="1">
      <alignment vertical="top"/>
    </xf>
    <xf numFmtId="168" fontId="7" fillId="0" borderId="2" xfId="0" applyNumberFormat="1" applyFont="1" applyBorder="1" applyAlignment="1">
      <alignment vertical="top"/>
    </xf>
    <xf numFmtId="168" fontId="7" fillId="5" borderId="2" xfId="0" applyNumberFormat="1" applyFont="1" applyFill="1" applyBorder="1" applyAlignment="1">
      <alignment vertical="top"/>
    </xf>
    <xf numFmtId="168" fontId="5" fillId="0" borderId="0" xfId="0" applyNumberFormat="1" applyFont="1" applyAlignment="1">
      <alignment vertical="top" wrapText="1"/>
    </xf>
    <xf numFmtId="164" fontId="5" fillId="0" borderId="0" xfId="0" applyNumberFormat="1" applyFont="1" applyAlignment="1">
      <alignment vertical="top"/>
    </xf>
    <xf numFmtId="165" fontId="5" fillId="0" borderId="0" xfId="0" applyNumberFormat="1" applyFont="1" applyAlignment="1">
      <alignment vertical="top"/>
    </xf>
    <xf numFmtId="166" fontId="5" fillId="0" borderId="0" xfId="0" applyNumberFormat="1" applyFont="1" applyAlignment="1">
      <alignment vertical="top"/>
    </xf>
    <xf numFmtId="164" fontId="5" fillId="0" borderId="0" xfId="0" applyNumberFormat="1" applyFont="1" applyAlignment="1">
      <alignment vertical="top" wrapText="1"/>
    </xf>
    <xf numFmtId="0" fontId="7" fillId="0" borderId="2" xfId="0" applyFont="1" applyBorder="1" applyAlignment="1">
      <alignment vertical="top" wrapText="1"/>
    </xf>
    <xf numFmtId="167" fontId="5" fillId="0" borderId="0" xfId="0" applyNumberFormat="1" applyFont="1" applyAlignment="1">
      <alignment vertical="top"/>
    </xf>
    <xf numFmtId="0" fontId="12" fillId="5" borderId="0" xfId="0" applyFont="1" applyFill="1" applyAlignment="1">
      <alignment horizontal="center" vertical="center" wrapText="1"/>
    </xf>
    <xf numFmtId="0" fontId="15" fillId="0" borderId="1" xfId="4"/>
    <xf numFmtId="0" fontId="16" fillId="0" borderId="1" xfId="4" applyFont="1" applyAlignment="1">
      <alignment horizontal="center"/>
    </xf>
    <xf numFmtId="0" fontId="17" fillId="0" borderId="1" xfId="4" applyFont="1"/>
    <xf numFmtId="2" fontId="17" fillId="0" borderId="1" xfId="4" applyNumberFormat="1" applyFont="1"/>
    <xf numFmtId="0" fontId="18" fillId="0" borderId="1" xfId="4" applyFont="1" applyAlignment="1">
      <alignment horizontal="left"/>
    </xf>
    <xf numFmtId="0" fontId="16" fillId="0" borderId="1" xfId="4" applyFont="1"/>
    <xf numFmtId="0" fontId="19" fillId="0" borderId="1" xfId="4" applyFont="1"/>
    <xf numFmtId="172" fontId="19" fillId="8" borderId="1" xfId="5" applyNumberFormat="1" applyFont="1" applyFill="1"/>
    <xf numFmtId="172" fontId="19" fillId="0" borderId="1" xfId="5" applyNumberFormat="1" applyFont="1" applyAlignment="1">
      <alignment horizontal="right"/>
    </xf>
    <xf numFmtId="172" fontId="15" fillId="0" borderId="1" xfId="5" applyNumberFormat="1" applyFont="1" applyFill="1" applyBorder="1" applyAlignment="1">
      <alignment horizontal="right"/>
    </xf>
    <xf numFmtId="172" fontId="20" fillId="0" borderId="1" xfId="5" applyNumberFormat="1" applyFont="1"/>
    <xf numFmtId="172" fontId="15" fillId="0" borderId="1" xfId="5" applyNumberFormat="1"/>
    <xf numFmtId="0" fontId="21" fillId="0" borderId="1" xfId="4" applyFont="1"/>
    <xf numFmtId="173" fontId="16" fillId="9" borderId="1" xfId="6" applyNumberFormat="1" applyFont="1" applyFill="1"/>
    <xf numFmtId="173" fontId="16" fillId="0" borderId="3" xfId="6" applyNumberFormat="1" applyFont="1" applyBorder="1"/>
    <xf numFmtId="9" fontId="15" fillId="0" borderId="1" xfId="4" applyNumberFormat="1"/>
    <xf numFmtId="173" fontId="16" fillId="0" borderId="1" xfId="6" applyNumberFormat="1" applyFont="1" applyBorder="1"/>
    <xf numFmtId="44" fontId="19" fillId="0" borderId="1" xfId="6" applyFont="1"/>
    <xf numFmtId="173" fontId="16" fillId="0" borderId="4" xfId="6" applyNumberFormat="1" applyFont="1" applyBorder="1"/>
    <xf numFmtId="173" fontId="15" fillId="0" borderId="1" xfId="4" applyNumberFormat="1"/>
    <xf numFmtId="0" fontId="16" fillId="10" borderId="1" xfId="4" applyFont="1" applyFill="1"/>
    <xf numFmtId="0" fontId="15" fillId="10" borderId="1" xfId="4" applyFill="1"/>
    <xf numFmtId="172" fontId="0" fillId="0" borderId="0" xfId="0" applyNumberFormat="1"/>
    <xf numFmtId="173" fontId="16" fillId="0" borderId="4" xfId="0" applyNumberFormat="1" applyFont="1" applyBorder="1"/>
    <xf numFmtId="173" fontId="16" fillId="0" borderId="0" xfId="0" applyNumberFormat="1" applyFont="1"/>
    <xf numFmtId="173" fontId="16" fillId="0" borderId="5" xfId="0" applyNumberFormat="1" applyFont="1" applyBorder="1"/>
    <xf numFmtId="172" fontId="0" fillId="0" borderId="4" xfId="0" applyNumberFormat="1" applyBorder="1"/>
    <xf numFmtId="0" fontId="0" fillId="0" borderId="0" xfId="0" applyAlignment="1">
      <alignment horizontal="center"/>
    </xf>
    <xf numFmtId="9" fontId="15" fillId="7" borderId="0" xfId="3" applyFont="1" applyFill="1" applyAlignment="1">
      <alignment horizontal="center"/>
    </xf>
    <xf numFmtId="0" fontId="14" fillId="0" borderId="0" xfId="0" applyFont="1"/>
    <xf numFmtId="4" fontId="0" fillId="0" borderId="0" xfId="0" applyNumberFormat="1" applyAlignment="1">
      <alignment horizontal="center"/>
    </xf>
    <xf numFmtId="4" fontId="0" fillId="0" borderId="0" xfId="0" applyNumberFormat="1"/>
    <xf numFmtId="0" fontId="0" fillId="0" borderId="0" xfId="0" applyAlignment="1">
      <alignment horizontal="right"/>
    </xf>
    <xf numFmtId="174" fontId="0" fillId="0" borderId="0" xfId="0" applyNumberFormat="1"/>
    <xf numFmtId="10" fontId="0" fillId="0" borderId="0" xfId="0" applyNumberFormat="1"/>
    <xf numFmtId="0" fontId="22" fillId="0" borderId="0" xfId="0" applyFont="1"/>
    <xf numFmtId="42" fontId="0" fillId="0" borderId="0" xfId="2" applyNumberFormat="1" applyFont="1"/>
    <xf numFmtId="42" fontId="23" fillId="0" borderId="0" xfId="2" applyNumberFormat="1" applyFont="1"/>
    <xf numFmtId="4" fontId="24" fillId="0" borderId="0" xfId="0" applyNumberFormat="1" applyFont="1" applyAlignment="1">
      <alignment horizontal="center"/>
    </xf>
    <xf numFmtId="44" fontId="0" fillId="0" borderId="0" xfId="0" applyNumberFormat="1"/>
    <xf numFmtId="174" fontId="0" fillId="0" borderId="0" xfId="0" applyNumberFormat="1" applyAlignment="1">
      <alignment horizontal="center"/>
    </xf>
    <xf numFmtId="44" fontId="0" fillId="0" borderId="0" xfId="2" applyFont="1"/>
    <xf numFmtId="0" fontId="14" fillId="0" borderId="0" xfId="0" applyFont="1" applyAlignment="1">
      <alignment horizontal="left"/>
    </xf>
    <xf numFmtId="0" fontId="24" fillId="0" borderId="0" xfId="0" applyFont="1" applyAlignment="1">
      <alignment horizontal="center"/>
    </xf>
    <xf numFmtId="42" fontId="24" fillId="0" borderId="0" xfId="2" applyNumberFormat="1" applyFont="1"/>
    <xf numFmtId="44" fontId="23" fillId="0" borderId="0" xfId="0" applyNumberFormat="1" applyFont="1"/>
    <xf numFmtId="175" fontId="0" fillId="0" borderId="0" xfId="0" applyNumberFormat="1"/>
    <xf numFmtId="175" fontId="0" fillId="0" borderId="0" xfId="0" applyNumberFormat="1" applyAlignment="1">
      <alignment horizontal="center"/>
    </xf>
    <xf numFmtId="6" fontId="0" fillId="0" borderId="0" xfId="0" applyNumberFormat="1" applyAlignment="1">
      <alignment horizontal="center"/>
    </xf>
    <xf numFmtId="173" fontId="0" fillId="0" borderId="0" xfId="2" applyNumberFormat="1" applyFont="1"/>
    <xf numFmtId="173" fontId="0" fillId="0" borderId="0" xfId="2" applyNumberFormat="1" applyFont="1" applyAlignment="1">
      <alignment horizontal="center"/>
    </xf>
    <xf numFmtId="173" fontId="0" fillId="0" borderId="0" xfId="0" applyNumberFormat="1"/>
    <xf numFmtId="173" fontId="23" fillId="0" borderId="0" xfId="2" applyNumberFormat="1" applyFont="1"/>
    <xf numFmtId="173" fontId="23" fillId="0" borderId="0" xfId="2" applyNumberFormat="1" applyFont="1" applyAlignment="1">
      <alignment horizontal="center"/>
    </xf>
    <xf numFmtId="175" fontId="24" fillId="0" borderId="0" xfId="0" applyNumberFormat="1" applyFont="1" applyAlignment="1">
      <alignment horizontal="center"/>
    </xf>
    <xf numFmtId="173" fontId="23" fillId="0" borderId="0" xfId="0" applyNumberFormat="1" applyFont="1"/>
    <xf numFmtId="0" fontId="0" fillId="0" borderId="4" xfId="0" applyBorder="1" applyAlignment="1">
      <alignment horizontal="right"/>
    </xf>
    <xf numFmtId="41" fontId="0" fillId="0" borderId="0" xfId="0" applyNumberFormat="1"/>
    <xf numFmtId="41" fontId="0" fillId="0" borderId="4" xfId="0" applyNumberFormat="1" applyBorder="1"/>
    <xf numFmtId="41" fontId="0" fillId="8" borderId="0" xfId="0" applyNumberFormat="1" applyFill="1"/>
    <xf numFmtId="43" fontId="0" fillId="0" borderId="0" xfId="1" applyFont="1" applyAlignment="1">
      <alignment vertical="top" wrapText="1"/>
    </xf>
    <xf numFmtId="0" fontId="25" fillId="0" borderId="0" xfId="7" applyAlignment="1">
      <alignment vertical="top" wrapText="1"/>
    </xf>
    <xf numFmtId="0" fontId="11" fillId="12" borderId="0" xfId="0" applyFont="1" applyFill="1" applyAlignment="1">
      <alignment vertical="center" wrapText="1"/>
    </xf>
    <xf numFmtId="165" fontId="5" fillId="13" borderId="0" xfId="0" applyNumberFormat="1" applyFont="1" applyFill="1" applyAlignment="1">
      <alignment vertical="top" wrapText="1"/>
    </xf>
    <xf numFmtId="0" fontId="6" fillId="12" borderId="0" xfId="0" applyFont="1" applyFill="1" applyAlignment="1">
      <alignment wrapText="1"/>
    </xf>
    <xf numFmtId="0" fontId="6" fillId="12" borderId="0" xfId="0" applyFont="1" applyFill="1" applyAlignment="1">
      <alignment vertical="center" wrapText="1"/>
    </xf>
    <xf numFmtId="0" fontId="0" fillId="0" borderId="0" xfId="0" applyAlignment="1">
      <alignment wrapText="1"/>
    </xf>
    <xf numFmtId="0" fontId="5" fillId="0" borderId="0" xfId="0" applyFont="1" applyAlignment="1">
      <alignment wrapText="1"/>
    </xf>
    <xf numFmtId="165" fontId="5" fillId="0" borderId="0" xfId="0" applyNumberFormat="1" applyFont="1"/>
    <xf numFmtId="0" fontId="28" fillId="0" borderId="0" xfId="0" applyFont="1"/>
    <xf numFmtId="165" fontId="0" fillId="0" borderId="0" xfId="0" applyNumberFormat="1" applyAlignment="1">
      <alignment wrapText="1"/>
    </xf>
    <xf numFmtId="165" fontId="5" fillId="0" borderId="0" xfId="0" applyNumberFormat="1" applyFont="1" applyAlignment="1">
      <alignment wrapText="1"/>
    </xf>
    <xf numFmtId="0" fontId="28" fillId="0" borderId="0" xfId="0" applyFont="1" applyAlignment="1">
      <alignment vertical="top" wrapText="1"/>
    </xf>
    <xf numFmtId="0" fontId="0" fillId="13" borderId="0" xfId="0" applyFill="1" applyAlignment="1">
      <alignment vertical="top" wrapText="1"/>
    </xf>
    <xf numFmtId="0" fontId="6" fillId="13" borderId="0" xfId="0" applyFont="1" applyFill="1" applyAlignment="1">
      <alignment vertical="top" wrapText="1"/>
    </xf>
    <xf numFmtId="10" fontId="5" fillId="0" borderId="0" xfId="0" applyNumberFormat="1" applyFont="1" applyAlignment="1">
      <alignment vertical="top" wrapText="1"/>
    </xf>
    <xf numFmtId="0" fontId="6" fillId="17" borderId="0" xfId="0" applyFont="1" applyFill="1"/>
    <xf numFmtId="0" fontId="6" fillId="17" borderId="0" xfId="0" applyFont="1" applyFill="1" applyAlignment="1">
      <alignment wrapText="1"/>
    </xf>
    <xf numFmtId="176" fontId="0" fillId="0" borderId="0" xfId="0" applyNumberFormat="1"/>
    <xf numFmtId="1" fontId="0" fillId="0" borderId="0" xfId="0" applyNumberFormat="1" applyAlignment="1">
      <alignment wrapText="1"/>
    </xf>
    <xf numFmtId="176" fontId="0" fillId="0" borderId="0" xfId="0" applyNumberFormat="1" applyAlignment="1">
      <alignment wrapText="1"/>
    </xf>
    <xf numFmtId="171" fontId="5" fillId="18" borderId="0" xfId="0" applyNumberFormat="1" applyFont="1" applyFill="1" applyAlignment="1">
      <alignment wrapText="1"/>
    </xf>
    <xf numFmtId="170" fontId="0" fillId="0" borderId="0" xfId="0" applyNumberFormat="1" applyAlignment="1">
      <alignment wrapText="1"/>
    </xf>
    <xf numFmtId="177" fontId="0" fillId="0" borderId="0" xfId="0" applyNumberFormat="1" applyAlignment="1">
      <alignment wrapText="1"/>
    </xf>
    <xf numFmtId="178" fontId="5" fillId="18" borderId="0" xfId="0" applyNumberFormat="1" applyFont="1" applyFill="1" applyAlignment="1">
      <alignment wrapText="1"/>
    </xf>
    <xf numFmtId="165" fontId="5" fillId="18" borderId="0" xfId="0" applyNumberFormat="1" applyFont="1" applyFill="1" applyAlignment="1">
      <alignment wrapText="1"/>
    </xf>
    <xf numFmtId="171" fontId="0" fillId="0" borderId="0" xfId="0" applyNumberFormat="1" applyAlignment="1">
      <alignment wrapText="1"/>
    </xf>
    <xf numFmtId="10" fontId="0" fillId="0" borderId="0" xfId="0" applyNumberFormat="1" applyAlignment="1">
      <alignment horizontal="center"/>
    </xf>
    <xf numFmtId="165" fontId="3" fillId="2" borderId="0" xfId="0" applyNumberFormat="1" applyFont="1" applyFill="1" applyAlignment="1">
      <alignment horizontal="center" vertical="top" wrapText="1"/>
    </xf>
    <xf numFmtId="177" fontId="0" fillId="0" borderId="0" xfId="0" applyNumberFormat="1" applyAlignment="1">
      <alignment vertical="top" wrapText="1"/>
    </xf>
    <xf numFmtId="2" fontId="8" fillId="0" borderId="0" xfId="0" applyNumberFormat="1" applyFont="1" applyAlignment="1">
      <alignment vertical="top" wrapText="1"/>
    </xf>
    <xf numFmtId="177" fontId="6" fillId="0" borderId="2" xfId="0" applyNumberFormat="1" applyFont="1" applyBorder="1" applyAlignment="1">
      <alignment vertical="top" wrapText="1"/>
    </xf>
    <xf numFmtId="177" fontId="6" fillId="5" borderId="2" xfId="0" applyNumberFormat="1" applyFont="1" applyFill="1" applyBorder="1" applyAlignment="1">
      <alignment vertical="top" wrapText="1"/>
    </xf>
    <xf numFmtId="0" fontId="1" fillId="2" borderId="0" xfId="0" applyFont="1" applyFill="1" applyAlignment="1">
      <alignment horizontal="left" vertical="top"/>
    </xf>
    <xf numFmtId="0" fontId="2" fillId="3" borderId="0" xfId="0" applyFont="1" applyFill="1" applyAlignment="1">
      <alignment vertical="top" wrapText="1"/>
    </xf>
    <xf numFmtId="0" fontId="3" fillId="4" borderId="0" xfId="0" applyFont="1" applyFill="1" applyAlignment="1">
      <alignment horizontal="left" vertical="top"/>
    </xf>
    <xf numFmtId="0" fontId="3" fillId="4" borderId="0" xfId="0" applyFont="1" applyFill="1" applyAlignment="1">
      <alignment horizontal="left" vertical="top"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3" fillId="11" borderId="0" xfId="0" applyFont="1" applyFill="1" applyAlignment="1">
      <alignment horizontal="left" vertical="center"/>
    </xf>
    <xf numFmtId="165" fontId="3" fillId="4" borderId="0" xfId="0" applyNumberFormat="1" applyFont="1" applyFill="1" applyAlignment="1">
      <alignment horizontal="left" vertical="top" wrapText="1"/>
    </xf>
    <xf numFmtId="0" fontId="0" fillId="0" borderId="0" xfId="0" applyAlignment="1">
      <alignment horizontal="center" vertical="center" wrapText="1"/>
    </xf>
    <xf numFmtId="0" fontId="3" fillId="2" borderId="0" xfId="0" applyFont="1" applyFill="1" applyAlignment="1">
      <alignment horizontal="center" vertical="top" wrapText="1"/>
    </xf>
    <xf numFmtId="0" fontId="3" fillId="11" borderId="0" xfId="0" applyFont="1" applyFill="1" applyAlignment="1">
      <alignment vertical="top"/>
    </xf>
    <xf numFmtId="0" fontId="3" fillId="15" borderId="0" xfId="0" applyFont="1" applyFill="1" applyAlignment="1">
      <alignment vertical="top"/>
    </xf>
    <xf numFmtId="0" fontId="0" fillId="0" borderId="0" xfId="0" applyAlignment="1">
      <alignment horizontal="center" vertical="top" wrapText="1"/>
    </xf>
    <xf numFmtId="0" fontId="16" fillId="0" borderId="1" xfId="4" applyFont="1" applyAlignment="1">
      <alignment horizontal="center"/>
    </xf>
    <xf numFmtId="0" fontId="3" fillId="11" borderId="0" xfId="0" applyFont="1" applyFill="1"/>
    <xf numFmtId="0" fontId="26" fillId="11" borderId="0" xfId="0" applyFont="1" applyFill="1" applyAlignment="1">
      <alignment horizontal="left" vertical="top"/>
    </xf>
    <xf numFmtId="0" fontId="27" fillId="14" borderId="0" xfId="0" applyFont="1" applyFill="1" applyAlignment="1">
      <alignment vertical="center" wrapText="1"/>
    </xf>
    <xf numFmtId="0" fontId="6" fillId="0" borderId="0" xfId="0" applyFont="1"/>
    <xf numFmtId="0" fontId="0" fillId="0" borderId="0" xfId="0"/>
    <xf numFmtId="0" fontId="3" fillId="15" borderId="0" xfId="0" applyFont="1" applyFill="1"/>
    <xf numFmtId="0" fontId="26" fillId="15" borderId="0" xfId="0" applyFont="1" applyFill="1" applyAlignment="1">
      <alignment vertical="center"/>
    </xf>
    <xf numFmtId="0" fontId="27" fillId="16" borderId="0" xfId="0" applyFont="1" applyFill="1" applyAlignment="1">
      <alignment vertical="center" wrapText="1"/>
    </xf>
  </cellXfs>
  <cellStyles count="8">
    <cellStyle name="Comma" xfId="1" xr:uid="{00000000-0005-0000-0000-000000000000}"/>
    <cellStyle name="Comma 2" xfId="5" xr:uid="{00000000-0005-0000-0000-000001000000}"/>
    <cellStyle name="Currency" xfId="2" xr:uid="{00000000-0005-0000-0000-000002000000}"/>
    <cellStyle name="Currency 2" xfId="6" xr:uid="{00000000-0005-0000-0000-000003000000}"/>
    <cellStyle name="Hyperlink" xfId="7" xr:uid="{00000000-0005-0000-0000-000004000000}"/>
    <cellStyle name="Normal" xfId="0" builtinId="0"/>
    <cellStyle name="Normal 2" xfId="4" xr:uid="{00000000-0005-0000-0000-000006000000}"/>
    <cellStyle name="Percent"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FY28 Net Operating Budget – Planned Uses</a:t>
            </a:r>
          </a:p>
        </c:rich>
      </c:tx>
      <c:overlay val="1"/>
    </c:title>
    <c:autoTitleDeleted val="0"/>
    <c:plotArea>
      <c:layout/>
      <c:barChart>
        <c:barDir val="col"/>
        <c:grouping val="clustered"/>
        <c:varyColors val="0"/>
        <c:ser>
          <c:idx val="0"/>
          <c:order val="0"/>
          <c:tx>
            <c:v>FY28 Amount</c:v>
          </c:tx>
          <c:invertIfNegative val="1"/>
          <c:cat>
            <c:strRef>
              <c:f>'Executive Summary'!$A$29:$A$33</c:f>
              <c:strCache>
                <c:ptCount val="5"/>
                <c:pt idx="0">
                  <c:v>Certificated Salaries</c:v>
                </c:pt>
                <c:pt idx="1">
                  <c:v>Classified Salaries</c:v>
                </c:pt>
                <c:pt idx="2">
                  <c:v>Employee Benefits</c:v>
                </c:pt>
                <c:pt idx="3">
                  <c:v>Function 4220 + Other Operating Costs</c:v>
                </c:pt>
                <c:pt idx="4">
                  <c:v>Contingency / Reserve</c:v>
                </c:pt>
              </c:strCache>
            </c:strRef>
          </c:cat>
          <c:val>
            <c:numRef>
              <c:f>'Executive Summary'!$B$29:$B$33</c:f>
              <c:numCache>
                <c:formatCode>\$#,##0;[Red]\(\$#,##0\);\-</c:formatCode>
                <c:ptCount val="5"/>
                <c:pt idx="0">
                  <c:v>2005757.2849999999</c:v>
                </c:pt>
                <c:pt idx="1">
                  <c:v>628197.57474825718</c:v>
                </c:pt>
                <c:pt idx="2">
                  <c:v>1598614.8166003872</c:v>
                </c:pt>
                <c:pt idx="3">
                  <c:v>281218</c:v>
                </c:pt>
                <c:pt idx="4">
                  <c:v>14752.798337124288</c:v>
                </c:pt>
              </c:numCache>
            </c:numRef>
          </c:val>
          <c:extLst>
            <c:ext xmlns:c16="http://schemas.microsoft.com/office/drawing/2014/chart" uri="{C3380CC4-5D6E-409C-BE32-E72D297353CC}">
              <c16:uniqueId val="{00000000-9635-45A2-B8E1-EBB977A472DB}"/>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Red]\(\$#,##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Soldotna Elementary Total FTE – FY19 to FY28 Proposed</a:t>
            </a:r>
          </a:p>
        </c:rich>
      </c:tx>
      <c:overlay val="1"/>
    </c:title>
    <c:autoTitleDeleted val="0"/>
    <c:plotArea>
      <c:layout/>
      <c:lineChart>
        <c:grouping val="standard"/>
        <c:varyColors val="1"/>
        <c:ser>
          <c:idx val="0"/>
          <c:order val="0"/>
          <c:tx>
            <c:v>Total FTE</c:v>
          </c:tx>
          <c:marker>
            <c:symbol val="none"/>
          </c:marker>
          <c:cat>
            <c:strRef>
              <c:f>'FY26 Staffing History'!$A$5:$A$13</c:f>
              <c:strCache>
                <c:ptCount val="9"/>
                <c:pt idx="0">
                  <c:v>FY19 Actual</c:v>
                </c:pt>
                <c:pt idx="1">
                  <c:v>FY20 Actual</c:v>
                </c:pt>
                <c:pt idx="2">
                  <c:v>FY21 Actual</c:v>
                </c:pt>
                <c:pt idx="3">
                  <c:v>FY22 Actual</c:v>
                </c:pt>
                <c:pt idx="4">
                  <c:v>FY23 Actual</c:v>
                </c:pt>
                <c:pt idx="5">
                  <c:v>FY24 Actual</c:v>
                </c:pt>
                <c:pt idx="6">
                  <c:v>FY25 Budget</c:v>
                </c:pt>
                <c:pt idx="7">
                  <c:v>FY26 Budget</c:v>
                </c:pt>
                <c:pt idx="8">
                  <c:v>FY28 Proposed</c:v>
                </c:pt>
              </c:strCache>
            </c:strRef>
          </c:cat>
          <c:val>
            <c:numRef>
              <c:f>'FY26 Staffing History'!$B$5:$B$13</c:f>
              <c:numCache>
                <c:formatCode>0.00;[Red]\(0.00\);\-</c:formatCode>
                <c:ptCount val="9"/>
                <c:pt idx="0">
                  <c:v>33.68</c:v>
                </c:pt>
                <c:pt idx="1">
                  <c:v>35.78</c:v>
                </c:pt>
                <c:pt idx="2">
                  <c:v>35.409999999999997</c:v>
                </c:pt>
                <c:pt idx="3">
                  <c:v>34.229999999999997</c:v>
                </c:pt>
                <c:pt idx="4">
                  <c:v>33.340000000000003</c:v>
                </c:pt>
                <c:pt idx="5">
                  <c:v>29.25</c:v>
                </c:pt>
                <c:pt idx="6">
                  <c:v>33.950000000000003</c:v>
                </c:pt>
                <c:pt idx="7">
                  <c:v>34.96</c:v>
                </c:pt>
                <c:pt idx="8">
                  <c:v>35.510000000000005</c:v>
                </c:pt>
              </c:numCache>
            </c:numRef>
          </c:val>
          <c:smooth val="1"/>
          <c:extLst>
            <c:ext xmlns:c16="http://schemas.microsoft.com/office/drawing/2014/chart" uri="{C3380CC4-5D6E-409C-BE32-E72D297353CC}">
              <c16:uniqueId val="{00000000-888D-4620-869B-9EE01B63C940}"/>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0;[Red]\(0.0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Illustrative Annual Cost – Nice to Haves</a:t>
            </a:r>
          </a:p>
        </c:rich>
      </c:tx>
      <c:overlay val="1"/>
    </c:title>
    <c:autoTitleDeleted val="0"/>
    <c:plotArea>
      <c:layout/>
      <c:barChart>
        <c:barDir val="col"/>
        <c:grouping val="clustered"/>
        <c:varyColors val="0"/>
        <c:ser>
          <c:idx val="0"/>
          <c:order val="0"/>
          <c:tx>
            <c:v>Estimated Annual Cost</c:v>
          </c:tx>
          <c:invertIfNegative val="1"/>
          <c:cat>
            <c:strRef>
              <c:f>'Exploratory Funds'!$H$6:$H$11</c:f>
              <c:strCache>
                <c:ptCount val="6"/>
                <c:pt idx="0">
                  <c:v>6 Clubs / Academic Teams</c:v>
                </c:pt>
                <c:pt idx="1">
                  <c:v>2-Day Tutoring + Enrichment</c:v>
                </c:pt>
                <c:pt idx="2">
                  <c:v>3-Day Structured Program</c:v>
                </c:pt>
                <c:pt idx="3">
                  <c:v>0.5 FTE Counselor / SEL</c:v>
                </c:pt>
                <c:pt idx="4">
                  <c:v>1.0 FTE Counselor / SEL</c:v>
                </c:pt>
                <c:pt idx="5">
                  <c:v>1.0 FTE Classified Support</c:v>
                </c:pt>
              </c:strCache>
            </c:strRef>
          </c:cat>
          <c:val>
            <c:numRef>
              <c:f>'Exploratory Funds'!$I$6:$I$11</c:f>
              <c:numCache>
                <c:formatCode>\$#,##0</c:formatCode>
                <c:ptCount val="6"/>
                <c:pt idx="0">
                  <c:v>5832.0599999999995</c:v>
                </c:pt>
                <c:pt idx="1">
                  <c:v>18157.874468085105</c:v>
                </c:pt>
                <c:pt idx="2">
                  <c:v>37095.992553191492</c:v>
                </c:pt>
                <c:pt idx="3">
                  <c:v>72647.929712107813</c:v>
                </c:pt>
                <c:pt idx="4">
                  <c:v>145295.85942421563</c:v>
                </c:pt>
                <c:pt idx="5">
                  <c:v>89054.083451333747</c:v>
                </c:pt>
              </c:numCache>
            </c:numRef>
          </c:val>
          <c:extLst>
            <c:ext xmlns:c16="http://schemas.microsoft.com/office/drawing/2014/chart" uri="{C3380CC4-5D6E-409C-BE32-E72D297353CC}">
              <c16:uniqueId val="{00000000-9C5F-4B5D-A1B9-FD1BCF8F6FA4}"/>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 sourceLinked="1"/>
        <c:majorTickMark val="none"/>
        <c:minorTickMark val="none"/>
        <c:tickLblPos val="nextTo"/>
        <c:crossAx val="48650112"/>
        <c:crosses val="autoZero"/>
        <c:crossBetween val="between"/>
      </c:valAx>
    </c:plotArea>
    <c:plotVisOnly val="1"/>
    <c:dispBlanksAs val="zero"/>
    <c:showDLblsOverMax val="1"/>
  </c:chart>
  <c:spPr>
    <a:ln w="9525">
      <a:no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4</xdr:col>
      <xdr:colOff>885825</xdr:colOff>
      <xdr:row>27</xdr:row>
      <xdr:rowOff>142875</xdr:rowOff>
    </xdr:from>
    <xdr:to>
      <xdr:col>10</xdr:col>
      <xdr:colOff>123825</xdr:colOff>
      <xdr:row>43</xdr:row>
      <xdr:rowOff>142875</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3</xdr:row>
      <xdr:rowOff>0</xdr:rowOff>
    </xdr:from>
    <xdr:to>
      <xdr:col>12</xdr:col>
      <xdr:colOff>0</xdr:colOff>
      <xdr:row>20</xdr:row>
      <xdr:rowOff>0</xdr:rowOff>
    </xdr:to>
    <xdr:graphicFrame macro="">
      <xdr:nvGraphicFramePr>
        <xdr:cNvPr id="2" name="Chart">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9</xdr:col>
      <xdr:colOff>268942</xdr:colOff>
      <xdr:row>2</xdr:row>
      <xdr:rowOff>134471</xdr:rowOff>
    </xdr:from>
    <xdr:to>
      <xdr:col>13</xdr:col>
      <xdr:colOff>661148</xdr:colOff>
      <xdr:row>12</xdr:row>
      <xdr:rowOff>818029</xdr:rowOff>
    </xdr:to>
    <xdr:graphicFrame macro="">
      <xdr:nvGraphicFramePr>
        <xdr:cNvPr id="2" name="Chart">
          <a:extLst>
            <a:ext uri="{FF2B5EF4-FFF2-40B4-BE49-F238E27FC236}">
              <a16:creationId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hyperlink" Target="https://kpbsd.org/wp-content/uploads/departments/finance/budget-development/fy26/FY26-Final-Budget-Document.pdf" TargetMode="Externa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1"/>
  <sheetViews>
    <sheetView tabSelected="1" topLeftCell="A16" workbookViewId="0">
      <selection activeCell="C32" sqref="C32"/>
    </sheetView>
  </sheetViews>
  <sheetFormatPr defaultRowHeight="14.25"/>
  <cols>
    <col min="1" max="1" width="24" customWidth="1"/>
    <col min="2" max="2" width="22" customWidth="1"/>
    <col min="3" max="3" width="54" customWidth="1"/>
    <col min="4" max="4" width="20" customWidth="1"/>
    <col min="5" max="9" width="14" customWidth="1"/>
    <col min="10" max="10" width="16" customWidth="1"/>
  </cols>
  <sheetData>
    <row r="1" spans="1:26" ht="27.95" customHeight="1">
      <c r="A1" s="138" t="s">
        <v>0</v>
      </c>
      <c r="B1" s="138"/>
      <c r="C1" s="138"/>
      <c r="D1" s="138"/>
      <c r="E1" s="138"/>
      <c r="F1" s="138"/>
      <c r="G1" s="138"/>
      <c r="H1" s="138"/>
      <c r="I1" s="5"/>
      <c r="J1" s="5"/>
      <c r="K1" s="5"/>
      <c r="L1" s="5"/>
      <c r="M1" s="5"/>
      <c r="N1" s="5"/>
      <c r="O1" s="5"/>
      <c r="P1" s="5"/>
      <c r="Q1" s="5"/>
      <c r="R1" s="5"/>
      <c r="S1" s="5"/>
      <c r="T1" s="5"/>
      <c r="U1" s="5"/>
      <c r="V1" s="5"/>
      <c r="W1" s="5"/>
      <c r="X1" s="5"/>
      <c r="Y1" s="5"/>
      <c r="Z1" s="5"/>
    </row>
    <row r="2" spans="1:26" ht="32.1" customHeight="1">
      <c r="A2" s="139" t="s">
        <v>1</v>
      </c>
      <c r="B2" s="139"/>
      <c r="C2" s="139"/>
      <c r="D2" s="139"/>
      <c r="E2" s="139"/>
      <c r="F2" s="139"/>
      <c r="G2" s="139"/>
      <c r="H2" s="139"/>
      <c r="I2" s="5"/>
      <c r="J2" s="5"/>
      <c r="K2" s="5"/>
      <c r="L2" s="5"/>
      <c r="M2" s="5"/>
      <c r="N2" s="5"/>
      <c r="O2" s="5"/>
      <c r="P2" s="5"/>
      <c r="Q2" s="5"/>
      <c r="R2" s="5"/>
      <c r="S2" s="5"/>
      <c r="T2" s="5"/>
      <c r="U2" s="5"/>
      <c r="V2" s="5"/>
      <c r="W2" s="5"/>
      <c r="X2" s="5"/>
      <c r="Y2" s="5"/>
      <c r="Z2" s="5"/>
    </row>
    <row r="3" spans="1:26">
      <c r="A3" s="5"/>
      <c r="B3" s="5"/>
      <c r="C3" s="5"/>
      <c r="D3" s="5"/>
      <c r="E3" s="5"/>
      <c r="F3" s="5"/>
      <c r="G3" s="5"/>
      <c r="H3" s="5"/>
      <c r="I3" s="5"/>
      <c r="J3" s="5"/>
      <c r="K3" s="5"/>
      <c r="L3" s="5"/>
      <c r="M3" s="5"/>
      <c r="N3" s="5"/>
      <c r="O3" s="5"/>
      <c r="P3" s="5"/>
      <c r="Q3" s="5"/>
      <c r="R3" s="5"/>
      <c r="S3" s="5"/>
      <c r="T3" s="5"/>
      <c r="U3" s="5"/>
      <c r="V3" s="5"/>
      <c r="W3" s="5"/>
      <c r="X3" s="5"/>
      <c r="Y3" s="5"/>
      <c r="Z3" s="5"/>
    </row>
    <row r="4" spans="1:26" ht="21" customHeight="1">
      <c r="A4" s="140" t="s">
        <v>2</v>
      </c>
      <c r="B4" s="140"/>
      <c r="C4" s="140"/>
      <c r="D4" s="140"/>
      <c r="E4" s="140"/>
      <c r="F4" s="140"/>
      <c r="G4" s="140"/>
      <c r="H4" s="140"/>
      <c r="I4" s="5"/>
      <c r="J4" s="5"/>
      <c r="K4" s="5"/>
      <c r="L4" s="5"/>
      <c r="M4" s="5"/>
      <c r="N4" s="5"/>
      <c r="O4" s="5"/>
      <c r="P4" s="5"/>
      <c r="Q4" s="5"/>
      <c r="R4" s="5"/>
      <c r="S4" s="5"/>
      <c r="T4" s="5"/>
      <c r="U4" s="5"/>
      <c r="V4" s="5"/>
      <c r="W4" s="5"/>
      <c r="X4" s="5"/>
      <c r="Y4" s="5"/>
      <c r="Z4" s="5"/>
    </row>
    <row r="5" spans="1:26" ht="15">
      <c r="A5" s="2" t="s">
        <v>3</v>
      </c>
      <c r="B5" s="2" t="s">
        <v>4</v>
      </c>
      <c r="C5" s="2" t="s">
        <v>5</v>
      </c>
      <c r="D5" s="2" t="s">
        <v>6</v>
      </c>
      <c r="E5" s="5"/>
      <c r="F5" s="5"/>
      <c r="G5" s="5"/>
      <c r="H5" s="5"/>
      <c r="I5" s="5"/>
      <c r="J5" s="5"/>
      <c r="K5" s="5"/>
      <c r="L5" s="5"/>
      <c r="M5" s="5"/>
      <c r="N5" s="5"/>
      <c r="O5" s="5"/>
      <c r="P5" s="5"/>
      <c r="Q5" s="5"/>
      <c r="R5" s="5"/>
      <c r="S5" s="5"/>
      <c r="T5" s="5"/>
      <c r="U5" s="5"/>
      <c r="V5" s="5"/>
      <c r="W5" s="5"/>
      <c r="X5" s="5"/>
      <c r="Y5" s="5"/>
      <c r="Z5" s="5"/>
    </row>
    <row r="6" spans="1:26">
      <c r="A6" s="3" t="s">
        <v>7</v>
      </c>
      <c r="B6" s="6">
        <f>'FY28 Foundation'!B5</f>
        <v>290</v>
      </c>
      <c r="C6" s="3" t="s">
        <v>8</v>
      </c>
      <c r="D6" s="3" t="s">
        <v>9</v>
      </c>
      <c r="E6" s="5"/>
      <c r="F6" s="5"/>
      <c r="G6" s="5"/>
      <c r="H6" s="5"/>
      <c r="I6" s="5"/>
      <c r="J6" s="5"/>
      <c r="K6" s="5"/>
      <c r="L6" s="5"/>
      <c r="M6" s="5"/>
      <c r="N6" s="5"/>
      <c r="O6" s="5"/>
      <c r="P6" s="5"/>
      <c r="Q6" s="5"/>
      <c r="R6" s="5"/>
      <c r="S6" s="5"/>
      <c r="T6" s="5"/>
      <c r="U6" s="5"/>
      <c r="V6" s="5"/>
      <c r="W6" s="5"/>
      <c r="X6" s="5"/>
      <c r="Y6" s="5"/>
      <c r="Z6" s="5"/>
    </row>
    <row r="7" spans="1:26" ht="28.5">
      <c r="A7" s="3" t="s">
        <v>10</v>
      </c>
      <c r="B7" s="7">
        <f>'FY28 Budget Model'!B9</f>
        <v>5865643.100527199</v>
      </c>
      <c r="C7" s="3" t="s">
        <v>11</v>
      </c>
      <c r="D7" s="3" t="s">
        <v>12</v>
      </c>
      <c r="E7" s="5"/>
      <c r="F7" s="5"/>
      <c r="G7" s="5"/>
      <c r="H7" s="5"/>
      <c r="I7" s="5"/>
      <c r="J7" s="5"/>
      <c r="K7" s="5"/>
      <c r="L7" s="5"/>
      <c r="M7" s="5"/>
      <c r="N7" s="5"/>
      <c r="O7" s="5"/>
      <c r="P7" s="5"/>
      <c r="Q7" s="5"/>
      <c r="R7" s="5"/>
      <c r="S7" s="5"/>
      <c r="T7" s="5"/>
      <c r="U7" s="5"/>
      <c r="V7" s="5"/>
      <c r="W7" s="5"/>
      <c r="X7" s="5"/>
      <c r="Y7" s="5"/>
      <c r="Z7" s="5"/>
    </row>
    <row r="8" spans="1:26" ht="28.5">
      <c r="A8" s="3" t="s">
        <v>13</v>
      </c>
      <c r="B8" s="7">
        <f>SUM('FY28 Budget Model'!B10:B12)</f>
        <v>1337102.6258414306</v>
      </c>
      <c r="C8" s="3" t="s">
        <v>14</v>
      </c>
      <c r="D8" s="3" t="s">
        <v>12</v>
      </c>
      <c r="E8" s="5"/>
      <c r="F8" s="5"/>
      <c r="G8" s="5"/>
      <c r="H8" s="5"/>
      <c r="I8" s="5"/>
      <c r="J8" s="5"/>
      <c r="K8" s="5"/>
      <c r="L8" s="5"/>
      <c r="M8" s="5"/>
      <c r="N8" s="5"/>
      <c r="O8" s="5"/>
      <c r="P8" s="5"/>
      <c r="Q8" s="5"/>
      <c r="R8" s="5"/>
      <c r="S8" s="5"/>
      <c r="T8" s="5"/>
      <c r="U8" s="5"/>
      <c r="V8" s="5"/>
      <c r="W8" s="5"/>
      <c r="X8" s="5"/>
      <c r="Y8" s="5"/>
      <c r="Z8" s="5"/>
    </row>
    <row r="9" spans="1:26" ht="28.5">
      <c r="A9" s="3" t="s">
        <v>15</v>
      </c>
      <c r="B9" s="7">
        <f>'FY28 Budget Model'!B13</f>
        <v>4528540.4746857686</v>
      </c>
      <c r="C9" s="3" t="s">
        <v>16</v>
      </c>
      <c r="D9" s="3" t="s">
        <v>17</v>
      </c>
      <c r="E9" s="5"/>
      <c r="F9" s="5"/>
      <c r="G9" s="5"/>
      <c r="H9" s="5"/>
      <c r="I9" s="5"/>
      <c r="J9" s="5"/>
      <c r="K9" s="5"/>
      <c r="L9" s="5"/>
      <c r="M9" s="5"/>
      <c r="N9" s="5"/>
      <c r="O9" s="5"/>
      <c r="P9" s="5"/>
      <c r="Q9" s="5"/>
      <c r="R9" s="5"/>
      <c r="S9" s="5"/>
      <c r="T9" s="5"/>
      <c r="U9" s="5"/>
      <c r="V9" s="5"/>
      <c r="W9" s="5"/>
      <c r="X9" s="5"/>
      <c r="Y9" s="5"/>
      <c r="Z9" s="5"/>
    </row>
    <row r="10" spans="1:26">
      <c r="A10" s="3" t="s">
        <v>18</v>
      </c>
      <c r="B10" s="135">
        <f>'FY26 Baseline'!G36</f>
        <v>34.96</v>
      </c>
      <c r="C10" s="3" t="s">
        <v>19</v>
      </c>
      <c r="D10" s="3" t="s">
        <v>20</v>
      </c>
      <c r="E10" s="5"/>
      <c r="F10" s="5"/>
      <c r="G10" s="5"/>
      <c r="H10" s="5"/>
      <c r="I10" s="5"/>
      <c r="J10" s="5"/>
      <c r="K10" s="5"/>
      <c r="L10" s="5"/>
      <c r="M10" s="5"/>
      <c r="N10" s="5"/>
      <c r="O10" s="5"/>
      <c r="P10" s="5"/>
      <c r="Q10" s="5"/>
      <c r="R10" s="5"/>
      <c r="S10" s="5"/>
      <c r="T10" s="5"/>
      <c r="U10" s="5"/>
      <c r="V10" s="5"/>
      <c r="W10" s="5"/>
      <c r="X10" s="5"/>
      <c r="Y10" s="5"/>
      <c r="Z10" s="5"/>
    </row>
    <row r="11" spans="1:26">
      <c r="A11" s="3" t="s">
        <v>21</v>
      </c>
      <c r="B11" s="135">
        <f>'Staffing Plan'!C38</f>
        <v>35.510000000000005</v>
      </c>
      <c r="C11" s="3" t="s">
        <v>22</v>
      </c>
      <c r="D11" s="3" t="s">
        <v>9</v>
      </c>
      <c r="E11" s="5"/>
      <c r="F11" s="5"/>
      <c r="G11" s="5"/>
      <c r="H11" s="5"/>
      <c r="I11" s="5"/>
      <c r="J11" s="5"/>
      <c r="K11" s="5"/>
      <c r="L11" s="5"/>
      <c r="M11" s="5"/>
      <c r="N11" s="5"/>
      <c r="O11" s="5"/>
      <c r="P11" s="5"/>
      <c r="Q11" s="5"/>
      <c r="R11" s="5"/>
      <c r="S11" s="5"/>
      <c r="T11" s="5"/>
      <c r="U11" s="5"/>
      <c r="V11" s="5"/>
      <c r="W11" s="5"/>
      <c r="X11" s="5"/>
      <c r="Y11" s="5"/>
      <c r="Z11" s="5"/>
    </row>
    <row r="12" spans="1:26" ht="42.75">
      <c r="A12" s="3" t="s">
        <v>23</v>
      </c>
      <c r="B12" s="135">
        <f>'Staffing Plan'!C36</f>
        <v>22.5</v>
      </c>
      <c r="C12" s="3" t="s">
        <v>1029</v>
      </c>
      <c r="D12" s="3" t="s">
        <v>9</v>
      </c>
      <c r="E12" s="5"/>
      <c r="F12" s="5"/>
      <c r="G12" s="5"/>
      <c r="H12" s="5"/>
      <c r="I12" s="5"/>
      <c r="J12" s="5"/>
      <c r="K12" s="5"/>
      <c r="L12" s="5"/>
      <c r="M12" s="5"/>
      <c r="N12" s="5"/>
      <c r="O12" s="5"/>
      <c r="P12" s="5"/>
      <c r="Q12" s="5"/>
      <c r="R12" s="5"/>
      <c r="S12" s="5"/>
      <c r="T12" s="5"/>
      <c r="U12" s="5"/>
      <c r="V12" s="5"/>
      <c r="W12" s="5"/>
      <c r="X12" s="5"/>
      <c r="Y12" s="5"/>
      <c r="Z12" s="5"/>
    </row>
    <row r="13" spans="1:26" ht="28.5">
      <c r="A13" s="3" t="s">
        <v>24</v>
      </c>
      <c r="B13" s="135">
        <f>'Staffing Plan'!C37</f>
        <v>13.010000000000002</v>
      </c>
      <c r="C13" s="3" t="s">
        <v>25</v>
      </c>
      <c r="D13" s="3" t="s">
        <v>9</v>
      </c>
      <c r="E13" s="5"/>
      <c r="F13" s="5"/>
      <c r="G13" s="5"/>
      <c r="H13" s="5"/>
      <c r="I13" s="5"/>
      <c r="J13" s="5"/>
      <c r="K13" s="5"/>
      <c r="L13" s="5"/>
      <c r="M13" s="5"/>
      <c r="N13" s="5"/>
      <c r="O13" s="5"/>
      <c r="P13" s="5"/>
      <c r="Q13" s="5"/>
      <c r="R13" s="5"/>
      <c r="S13" s="5"/>
      <c r="T13" s="5"/>
      <c r="U13" s="5"/>
      <c r="V13" s="5"/>
      <c r="W13" s="5"/>
      <c r="X13" s="5"/>
      <c r="Y13" s="5"/>
      <c r="Z13" s="5"/>
    </row>
    <row r="14" spans="1:26">
      <c r="A14" s="3" t="s">
        <v>26</v>
      </c>
      <c r="B14" s="7">
        <f>SUM('FY28 Budget Model'!B17:B19)</f>
        <v>4232569.6763486443</v>
      </c>
      <c r="C14" s="3" t="s">
        <v>27</v>
      </c>
      <c r="D14" s="3" t="s">
        <v>17</v>
      </c>
      <c r="E14" s="5"/>
      <c r="F14" s="5"/>
      <c r="G14" s="5"/>
      <c r="H14" s="5"/>
      <c r="I14" s="5"/>
      <c r="J14" s="5"/>
      <c r="K14" s="5"/>
      <c r="L14" s="5"/>
      <c r="M14" s="5"/>
      <c r="N14" s="5"/>
      <c r="O14" s="5"/>
      <c r="P14" s="5"/>
      <c r="Q14" s="5"/>
      <c r="R14" s="5"/>
      <c r="S14" s="5"/>
      <c r="T14" s="5"/>
      <c r="U14" s="5"/>
      <c r="V14" s="5"/>
      <c r="W14" s="5"/>
      <c r="X14" s="5"/>
      <c r="Y14" s="5"/>
      <c r="Z14" s="5"/>
    </row>
    <row r="15" spans="1:26">
      <c r="A15" s="3" t="s">
        <v>28</v>
      </c>
      <c r="B15" s="7">
        <f>'FY28 Budget Model'!B26</f>
        <v>14752.798337124288</v>
      </c>
      <c r="C15" s="3" t="s">
        <v>29</v>
      </c>
      <c r="D15" s="3" t="s">
        <v>17</v>
      </c>
      <c r="E15" s="5"/>
      <c r="F15" s="5"/>
      <c r="G15" s="5"/>
      <c r="H15" s="5"/>
      <c r="I15" s="5"/>
      <c r="J15" s="5"/>
      <c r="K15" s="5"/>
      <c r="L15" s="5"/>
      <c r="M15" s="5"/>
      <c r="N15" s="5"/>
      <c r="O15" s="5"/>
      <c r="P15" s="5"/>
      <c r="Q15" s="5"/>
      <c r="R15" s="5"/>
      <c r="S15" s="5"/>
      <c r="T15" s="5"/>
      <c r="U15" s="5"/>
      <c r="V15" s="5"/>
      <c r="W15" s="5"/>
      <c r="X15" s="5"/>
      <c r="Y15" s="5"/>
      <c r="Z15" s="5"/>
    </row>
    <row r="16" spans="1:26">
      <c r="A16" s="3"/>
      <c r="B16" s="3"/>
      <c r="C16" s="3"/>
      <c r="D16" s="3"/>
      <c r="E16" s="5"/>
      <c r="F16" s="5"/>
      <c r="G16" s="5"/>
      <c r="H16" s="5"/>
      <c r="I16" s="5"/>
      <c r="J16" s="5"/>
      <c r="K16" s="5"/>
      <c r="L16" s="5"/>
      <c r="M16" s="5"/>
      <c r="N16" s="5"/>
      <c r="O16" s="5"/>
      <c r="P16" s="5"/>
      <c r="Q16" s="5"/>
      <c r="R16" s="5"/>
      <c r="S16" s="5"/>
      <c r="T16" s="5"/>
      <c r="U16" s="5"/>
      <c r="V16" s="5"/>
      <c r="W16" s="5"/>
      <c r="X16" s="5"/>
      <c r="Y16" s="5"/>
      <c r="Z16" s="5"/>
    </row>
    <row r="17" spans="1:26" ht="21" customHeight="1">
      <c r="A17" s="141" t="s">
        <v>30</v>
      </c>
      <c r="B17" s="141"/>
      <c r="C17" s="141"/>
      <c r="D17" s="141"/>
      <c r="E17" s="140"/>
      <c r="F17" s="140"/>
      <c r="G17" s="140"/>
      <c r="H17" s="140"/>
      <c r="I17" s="5"/>
      <c r="J17" s="5"/>
      <c r="K17" s="5"/>
      <c r="L17" s="5"/>
      <c r="M17" s="5"/>
      <c r="N17" s="5"/>
      <c r="O17" s="5"/>
      <c r="P17" s="5"/>
      <c r="Q17" s="5"/>
      <c r="R17" s="5"/>
      <c r="S17" s="5"/>
      <c r="T17" s="5"/>
      <c r="U17" s="5"/>
      <c r="V17" s="5"/>
      <c r="W17" s="5"/>
      <c r="X17" s="5"/>
      <c r="Y17" s="5"/>
      <c r="Z17" s="5"/>
    </row>
    <row r="18" spans="1:26" ht="33.950000000000003" customHeight="1">
      <c r="A18" s="44" t="s">
        <v>31</v>
      </c>
      <c r="B18" s="142" t="s">
        <v>32</v>
      </c>
      <c r="C18" s="143"/>
      <c r="D18" s="142"/>
      <c r="E18" s="142"/>
      <c r="F18" s="142"/>
      <c r="G18" s="142"/>
      <c r="H18" s="4" t="s">
        <v>33</v>
      </c>
      <c r="I18" s="5"/>
      <c r="J18" s="5"/>
      <c r="K18" s="5"/>
      <c r="L18" s="5"/>
      <c r="M18" s="5"/>
      <c r="N18" s="5"/>
      <c r="O18" s="5"/>
      <c r="P18" s="5"/>
      <c r="Q18" s="5"/>
      <c r="R18" s="5"/>
      <c r="S18" s="5"/>
      <c r="T18" s="5"/>
      <c r="U18" s="5"/>
      <c r="V18" s="5"/>
      <c r="W18" s="5"/>
      <c r="X18" s="5"/>
      <c r="Y18" s="5"/>
      <c r="Z18" s="5"/>
    </row>
    <row r="19" spans="1:26" ht="33.950000000000003" customHeight="1">
      <c r="A19" s="44" t="s">
        <v>34</v>
      </c>
      <c r="B19" s="142" t="s">
        <v>35</v>
      </c>
      <c r="C19" s="143"/>
      <c r="D19" s="142"/>
      <c r="E19" s="142"/>
      <c r="F19" s="142"/>
      <c r="G19" s="142"/>
      <c r="H19" s="4" t="s">
        <v>33</v>
      </c>
      <c r="I19" s="5"/>
      <c r="J19" s="5"/>
      <c r="K19" s="5"/>
      <c r="L19" s="5"/>
      <c r="M19" s="5"/>
      <c r="N19" s="5"/>
      <c r="O19" s="5"/>
      <c r="P19" s="5"/>
      <c r="Q19" s="5"/>
      <c r="R19" s="5"/>
      <c r="S19" s="5"/>
      <c r="T19" s="5"/>
      <c r="U19" s="5"/>
      <c r="V19" s="5"/>
      <c r="W19" s="5"/>
      <c r="X19" s="5"/>
      <c r="Y19" s="5"/>
      <c r="Z19" s="5"/>
    </row>
    <row r="20" spans="1:26" ht="33.950000000000003" customHeight="1">
      <c r="A20" s="44" t="s">
        <v>36</v>
      </c>
      <c r="B20" s="142" t="s">
        <v>1030</v>
      </c>
      <c r="C20" s="143"/>
      <c r="D20" s="142"/>
      <c r="E20" s="142"/>
      <c r="F20" s="142"/>
      <c r="G20" s="142"/>
      <c r="H20" s="4" t="s">
        <v>37</v>
      </c>
      <c r="I20" s="5"/>
      <c r="J20" s="5"/>
      <c r="K20" s="5"/>
      <c r="L20" s="5"/>
      <c r="M20" s="5"/>
      <c r="N20" s="5"/>
      <c r="O20" s="5"/>
      <c r="P20" s="5"/>
      <c r="Q20" s="5"/>
      <c r="R20" s="5"/>
      <c r="S20" s="5"/>
      <c r="T20" s="5"/>
      <c r="U20" s="5"/>
      <c r="V20" s="5"/>
      <c r="W20" s="5"/>
      <c r="X20" s="5"/>
      <c r="Y20" s="5"/>
      <c r="Z20" s="5"/>
    </row>
    <row r="21" spans="1:26" ht="33.950000000000003" customHeight="1">
      <c r="A21" s="44" t="s">
        <v>38</v>
      </c>
      <c r="B21" s="142" t="s">
        <v>39</v>
      </c>
      <c r="C21" s="143"/>
      <c r="D21" s="142"/>
      <c r="E21" s="142"/>
      <c r="F21" s="142"/>
      <c r="G21" s="142"/>
      <c r="H21" s="4" t="s">
        <v>40</v>
      </c>
      <c r="I21" s="5"/>
      <c r="J21" s="5"/>
      <c r="K21" s="5"/>
      <c r="L21" s="5"/>
      <c r="M21" s="5"/>
      <c r="N21" s="5"/>
      <c r="O21" s="5"/>
      <c r="P21" s="5"/>
      <c r="Q21" s="5"/>
      <c r="R21" s="5"/>
      <c r="S21" s="5"/>
      <c r="T21" s="5"/>
      <c r="U21" s="5"/>
      <c r="V21" s="5"/>
      <c r="W21" s="5"/>
      <c r="X21" s="5"/>
      <c r="Y21" s="5"/>
      <c r="Z21" s="5"/>
    </row>
    <row r="22" spans="1:26" ht="33.950000000000003" customHeight="1">
      <c r="A22" s="44" t="s">
        <v>41</v>
      </c>
      <c r="B22" s="142" t="s">
        <v>42</v>
      </c>
      <c r="C22" s="143"/>
      <c r="D22" s="142"/>
      <c r="E22" s="142"/>
      <c r="F22" s="142"/>
      <c r="G22" s="142"/>
      <c r="H22" s="4" t="s">
        <v>43</v>
      </c>
      <c r="I22" s="5"/>
      <c r="J22" s="5"/>
      <c r="K22" s="5"/>
      <c r="L22" s="5"/>
      <c r="M22" s="5"/>
      <c r="N22" s="5"/>
      <c r="O22" s="5"/>
      <c r="P22" s="5"/>
      <c r="Q22" s="5"/>
      <c r="R22" s="5"/>
      <c r="S22" s="5"/>
      <c r="T22" s="5"/>
      <c r="U22" s="5"/>
      <c r="V22" s="5"/>
      <c r="W22" s="5"/>
      <c r="X22" s="5"/>
      <c r="Y22" s="5"/>
      <c r="Z22" s="5"/>
    </row>
    <row r="23" spans="1:26" ht="33.950000000000003" customHeight="1">
      <c r="A23" s="44" t="s">
        <v>44</v>
      </c>
      <c r="B23" s="142" t="s">
        <v>1031</v>
      </c>
      <c r="C23" s="143"/>
      <c r="D23" s="142"/>
      <c r="E23" s="142"/>
      <c r="F23" s="142"/>
      <c r="G23" s="142"/>
      <c r="H23" s="4" t="s">
        <v>1032</v>
      </c>
      <c r="I23" s="5"/>
      <c r="J23" s="5"/>
      <c r="K23" s="5"/>
      <c r="L23" s="5"/>
      <c r="M23" s="5"/>
      <c r="N23" s="5"/>
      <c r="O23" s="5"/>
      <c r="P23" s="5"/>
      <c r="Q23" s="5"/>
      <c r="R23" s="5"/>
      <c r="S23" s="5"/>
      <c r="T23" s="5"/>
      <c r="U23" s="5"/>
      <c r="V23" s="5"/>
      <c r="W23" s="5"/>
      <c r="X23" s="5"/>
      <c r="Y23" s="5"/>
      <c r="Z23" s="5"/>
    </row>
    <row r="24" spans="1:26" ht="51.95" customHeight="1">
      <c r="A24" s="44">
        <v>7</v>
      </c>
      <c r="B24" s="144" t="s">
        <v>1033</v>
      </c>
      <c r="C24" s="145"/>
      <c r="D24" s="145"/>
      <c r="E24" s="145"/>
      <c r="F24" s="145"/>
      <c r="G24" s="145"/>
      <c r="H24" s="4" t="s">
        <v>1034</v>
      </c>
      <c r="I24" s="5"/>
      <c r="J24" s="5"/>
      <c r="K24" s="5"/>
      <c r="L24" s="5"/>
      <c r="M24" s="5"/>
      <c r="N24" s="5"/>
      <c r="O24" s="5"/>
      <c r="P24" s="5"/>
      <c r="Q24" s="5"/>
      <c r="R24" s="5"/>
      <c r="S24" s="5"/>
      <c r="T24" s="5"/>
      <c r="U24" s="5"/>
      <c r="V24" s="5"/>
      <c r="W24" s="5"/>
      <c r="X24" s="5"/>
      <c r="Y24" s="5"/>
      <c r="Z24" s="5"/>
    </row>
    <row r="25" spans="1:26">
      <c r="A25" s="5">
        <v>8</v>
      </c>
      <c r="B25" s="5" t="s">
        <v>1035</v>
      </c>
      <c r="C25" s="5"/>
      <c r="D25" s="5"/>
      <c r="E25" s="5"/>
      <c r="F25" s="5"/>
      <c r="G25" s="5"/>
      <c r="H25" s="5" t="s">
        <v>137</v>
      </c>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21" customHeight="1">
      <c r="A27" s="140" t="s">
        <v>45</v>
      </c>
      <c r="B27" s="140"/>
      <c r="C27" s="140"/>
      <c r="D27" s="140"/>
      <c r="E27" s="140"/>
      <c r="F27" s="140"/>
      <c r="G27" s="140"/>
      <c r="H27" s="140"/>
      <c r="I27" s="5"/>
      <c r="J27" s="5"/>
      <c r="K27" s="5"/>
      <c r="L27" s="5"/>
      <c r="M27" s="5"/>
      <c r="N27" s="5"/>
      <c r="O27" s="5"/>
      <c r="P27" s="5"/>
      <c r="Q27" s="5"/>
      <c r="R27" s="5"/>
      <c r="S27" s="5"/>
      <c r="T27" s="5"/>
      <c r="U27" s="5"/>
      <c r="V27" s="5"/>
      <c r="W27" s="5"/>
      <c r="X27" s="5"/>
      <c r="Y27" s="5"/>
      <c r="Z27" s="5"/>
    </row>
    <row r="28" spans="1:26" ht="15">
      <c r="A28" s="2" t="s">
        <v>46</v>
      </c>
      <c r="B28" s="2" t="s">
        <v>47</v>
      </c>
      <c r="C28" s="5"/>
      <c r="D28" s="5"/>
      <c r="E28" s="5"/>
      <c r="F28" s="5"/>
      <c r="G28" s="5"/>
      <c r="H28" s="5"/>
      <c r="I28" s="5"/>
      <c r="J28" s="5"/>
      <c r="K28" s="5"/>
      <c r="L28" s="5"/>
      <c r="M28" s="5"/>
      <c r="N28" s="5"/>
      <c r="O28" s="5"/>
      <c r="P28" s="5"/>
      <c r="Q28" s="5"/>
      <c r="R28" s="5"/>
      <c r="S28" s="5"/>
      <c r="T28" s="5"/>
      <c r="U28" s="5"/>
      <c r="V28" s="5"/>
      <c r="W28" s="5"/>
      <c r="X28" s="5"/>
      <c r="Y28" s="5"/>
      <c r="Z28" s="5"/>
    </row>
    <row r="29" spans="1:26">
      <c r="A29" s="5" t="s">
        <v>48</v>
      </c>
      <c r="B29" s="8">
        <f>'FY28 Budget Model'!B17</f>
        <v>2005757.2849999999</v>
      </c>
      <c r="C29" s="5"/>
      <c r="D29" s="5"/>
      <c r="E29" s="5"/>
      <c r="F29" s="5"/>
      <c r="G29" s="5"/>
      <c r="H29" s="5"/>
      <c r="I29" s="5"/>
      <c r="J29" s="5"/>
      <c r="K29" s="5"/>
      <c r="L29" s="5"/>
      <c r="M29" s="5"/>
      <c r="N29" s="5"/>
      <c r="O29" s="5"/>
      <c r="P29" s="5"/>
      <c r="Q29" s="5"/>
      <c r="R29" s="5"/>
      <c r="S29" s="5"/>
      <c r="T29" s="5"/>
      <c r="U29" s="5"/>
      <c r="V29" s="5"/>
      <c r="W29" s="5"/>
      <c r="X29" s="5"/>
      <c r="Y29" s="5"/>
      <c r="Z29" s="5"/>
    </row>
    <row r="30" spans="1:26">
      <c r="A30" s="5" t="s">
        <v>49</v>
      </c>
      <c r="B30" s="8">
        <f>'FY28 Budget Model'!B18</f>
        <v>628197.57474825718</v>
      </c>
      <c r="C30" s="5"/>
      <c r="D30" s="5"/>
      <c r="E30" s="5"/>
      <c r="F30" s="5"/>
      <c r="G30" s="5"/>
      <c r="H30" s="5"/>
      <c r="I30" s="5"/>
      <c r="J30" s="5"/>
      <c r="K30" s="5"/>
      <c r="L30" s="5"/>
      <c r="M30" s="5"/>
      <c r="N30" s="5"/>
      <c r="O30" s="5"/>
      <c r="P30" s="5"/>
      <c r="Q30" s="5"/>
      <c r="R30" s="5"/>
      <c r="S30" s="5"/>
      <c r="T30" s="5"/>
      <c r="U30" s="5"/>
      <c r="V30" s="5"/>
      <c r="W30" s="5"/>
      <c r="X30" s="5"/>
      <c r="Y30" s="5"/>
      <c r="Z30" s="5"/>
    </row>
    <row r="31" spans="1:26">
      <c r="A31" s="5" t="s">
        <v>50</v>
      </c>
      <c r="B31" s="8">
        <f>'FY28 Budget Model'!B19</f>
        <v>1598614.8166003872</v>
      </c>
      <c r="C31" s="5"/>
      <c r="D31" s="5"/>
      <c r="E31" s="5"/>
      <c r="F31" s="5"/>
      <c r="G31" s="5"/>
      <c r="H31" s="5"/>
      <c r="I31" s="5"/>
      <c r="J31" s="5"/>
      <c r="K31" s="5"/>
      <c r="L31" s="5"/>
      <c r="M31" s="5"/>
      <c r="N31" s="5"/>
      <c r="O31" s="5"/>
      <c r="P31" s="5"/>
      <c r="Q31" s="5"/>
      <c r="R31" s="5"/>
      <c r="S31" s="5"/>
      <c r="T31" s="5"/>
      <c r="U31" s="5"/>
      <c r="V31" s="5"/>
      <c r="W31" s="5"/>
      <c r="X31" s="5"/>
      <c r="Y31" s="5"/>
      <c r="Z31" s="5"/>
    </row>
    <row r="32" spans="1:26">
      <c r="A32" s="5" t="s">
        <v>1036</v>
      </c>
      <c r="B32" s="8">
        <f>SUM('FY28 Budget Model'!B20:B25)</f>
        <v>281218</v>
      </c>
      <c r="C32" s="5"/>
      <c r="D32" s="5"/>
      <c r="E32" s="5"/>
      <c r="F32" s="5"/>
      <c r="G32" s="5"/>
      <c r="H32" s="5"/>
      <c r="I32" s="5"/>
      <c r="J32" s="5"/>
      <c r="K32" s="5"/>
      <c r="L32" s="5"/>
      <c r="M32" s="5"/>
      <c r="N32" s="5"/>
      <c r="O32" s="5"/>
      <c r="P32" s="5"/>
      <c r="Q32" s="5"/>
      <c r="R32" s="5"/>
      <c r="S32" s="5"/>
      <c r="T32" s="5"/>
      <c r="U32" s="5"/>
      <c r="V32" s="5"/>
      <c r="W32" s="5"/>
      <c r="X32" s="5"/>
      <c r="Y32" s="5"/>
      <c r="Z32" s="5"/>
    </row>
    <row r="33" spans="1:26">
      <c r="A33" s="5" t="s">
        <v>1037</v>
      </c>
      <c r="B33" s="8">
        <f>'FY28 Budget Model'!B26</f>
        <v>14752.798337124288</v>
      </c>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
      <c r="A36" s="1" t="s">
        <v>51</v>
      </c>
      <c r="B36" s="1" t="s">
        <v>52</v>
      </c>
      <c r="C36" s="1" t="s">
        <v>53</v>
      </c>
      <c r="D36" s="1" t="s">
        <v>54</v>
      </c>
      <c r="E36" s="2"/>
      <c r="F36" s="2"/>
      <c r="G36" s="2"/>
      <c r="H36" s="2"/>
      <c r="I36" s="2"/>
      <c r="J36" s="2"/>
      <c r="K36" s="5"/>
      <c r="L36" s="5"/>
      <c r="M36" s="5"/>
      <c r="N36" s="5"/>
      <c r="O36" s="5"/>
      <c r="P36" s="5"/>
      <c r="Q36" s="5"/>
      <c r="R36" s="5"/>
      <c r="S36" s="5"/>
      <c r="T36" s="5"/>
      <c r="U36" s="5"/>
      <c r="V36" s="5"/>
      <c r="W36" s="5"/>
      <c r="X36" s="5"/>
      <c r="Y36" s="5"/>
      <c r="Z36" s="5"/>
    </row>
    <row r="37" spans="1:26">
      <c r="A37" s="5" t="s">
        <v>55</v>
      </c>
      <c r="B37" s="10">
        <f>'FY26 Baseline'!G29</f>
        <v>22.05</v>
      </c>
      <c r="C37" s="10">
        <f>'Staffing Plan'!C36</f>
        <v>22.5</v>
      </c>
      <c r="D37" s="9">
        <f>C37-B37</f>
        <v>0.44999999999999929</v>
      </c>
      <c r="E37" s="9"/>
      <c r="F37" s="9"/>
      <c r="G37" s="9"/>
      <c r="H37" s="9"/>
      <c r="I37" s="9"/>
      <c r="J37" s="10"/>
      <c r="K37" s="5"/>
      <c r="L37" s="5"/>
      <c r="M37" s="5"/>
      <c r="N37" s="5"/>
      <c r="O37" s="5"/>
      <c r="P37" s="5"/>
      <c r="Q37" s="5"/>
      <c r="R37" s="5"/>
      <c r="S37" s="5"/>
      <c r="T37" s="5"/>
      <c r="U37" s="5"/>
      <c r="V37" s="5"/>
      <c r="W37" s="5"/>
      <c r="X37" s="5"/>
      <c r="Y37" s="5"/>
      <c r="Z37" s="5"/>
    </row>
    <row r="38" spans="1:26">
      <c r="A38" s="5" t="s">
        <v>56</v>
      </c>
      <c r="B38" s="10">
        <f>'FY26 Baseline'!G35</f>
        <v>12.91</v>
      </c>
      <c r="C38" s="10">
        <f>'Staffing Plan'!C37</f>
        <v>13.010000000000002</v>
      </c>
      <c r="D38" s="9">
        <f>C38-B38</f>
        <v>0.10000000000000142</v>
      </c>
      <c r="E38" s="5"/>
      <c r="F38" s="5"/>
      <c r="G38" s="5"/>
      <c r="H38" s="5"/>
      <c r="I38" s="5"/>
      <c r="J38" s="5"/>
      <c r="K38" s="5"/>
      <c r="L38" s="5"/>
      <c r="M38" s="5"/>
      <c r="N38" s="5"/>
      <c r="O38" s="5"/>
      <c r="P38" s="5"/>
      <c r="Q38" s="5"/>
      <c r="R38" s="5"/>
      <c r="S38" s="5"/>
      <c r="T38" s="5"/>
      <c r="U38" s="5"/>
      <c r="V38" s="5"/>
      <c r="W38" s="5"/>
      <c r="X38" s="5"/>
      <c r="Y38" s="5"/>
      <c r="Z38" s="5"/>
    </row>
    <row r="39" spans="1:26" ht="15">
      <c r="A39" s="28" t="s">
        <v>57</v>
      </c>
      <c r="B39" s="29">
        <f>'FY26 Baseline'!G36</f>
        <v>34.96</v>
      </c>
      <c r="C39" s="29">
        <f>'Staffing Plan'!C38</f>
        <v>35.510000000000005</v>
      </c>
      <c r="D39" s="30">
        <f>C39-B39</f>
        <v>0.55000000000000426</v>
      </c>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sheetData>
  <mergeCells count="12">
    <mergeCell ref="A1:H1"/>
    <mergeCell ref="A2:H2"/>
    <mergeCell ref="A4:H4"/>
    <mergeCell ref="A17:H17"/>
    <mergeCell ref="A27:H27"/>
    <mergeCell ref="B18:G18"/>
    <mergeCell ref="B19:G19"/>
    <mergeCell ref="B20:G20"/>
    <mergeCell ref="B21:G21"/>
    <mergeCell ref="B22:G22"/>
    <mergeCell ref="B23:G23"/>
    <mergeCell ref="B24:G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00"/>
  <sheetViews>
    <sheetView topLeftCell="A17" workbookViewId="0">
      <selection activeCell="B20" sqref="B20"/>
    </sheetView>
  </sheetViews>
  <sheetFormatPr defaultRowHeight="14.25"/>
  <cols>
    <col min="1" max="1" width="37" customWidth="1"/>
    <col min="2" max="2" width="18" customWidth="1"/>
    <col min="3" max="3" width="38" customWidth="1"/>
    <col min="4" max="4" width="24" customWidth="1"/>
    <col min="5" max="6" width="14" customWidth="1"/>
    <col min="7" max="7" width="46" customWidth="1"/>
    <col min="8" max="8" width="14" customWidth="1"/>
  </cols>
  <sheetData>
    <row r="1" spans="1:26" ht="27.95" customHeight="1">
      <c r="A1" s="138" t="s">
        <v>58</v>
      </c>
      <c r="B1" s="138"/>
      <c r="C1" s="138"/>
      <c r="D1" s="138"/>
      <c r="E1" s="138"/>
      <c r="F1" s="138"/>
      <c r="G1" s="138"/>
      <c r="H1" s="138"/>
      <c r="I1" s="5"/>
      <c r="J1" s="5"/>
      <c r="K1" s="5"/>
      <c r="L1" s="5"/>
      <c r="M1" s="5"/>
      <c r="N1" s="5"/>
      <c r="O1" s="5"/>
      <c r="P1" s="5"/>
      <c r="Q1" s="5"/>
      <c r="R1" s="5"/>
      <c r="S1" s="5"/>
      <c r="T1" s="5"/>
      <c r="U1" s="5"/>
      <c r="V1" s="5"/>
      <c r="W1" s="5"/>
      <c r="X1" s="5"/>
      <c r="Y1" s="5"/>
      <c r="Z1" s="5"/>
    </row>
    <row r="2" spans="1:26" ht="32.1" customHeight="1">
      <c r="A2" s="139" t="s">
        <v>59</v>
      </c>
      <c r="B2" s="139"/>
      <c r="C2" s="139"/>
      <c r="D2" s="139"/>
      <c r="E2" s="139"/>
      <c r="F2" s="139"/>
      <c r="G2" s="139"/>
      <c r="H2" s="139"/>
      <c r="I2" s="5"/>
      <c r="J2" s="5"/>
      <c r="K2" s="5"/>
      <c r="L2" s="5"/>
      <c r="M2" s="5"/>
      <c r="N2" s="5"/>
      <c r="O2" s="5"/>
      <c r="P2" s="5"/>
      <c r="Q2" s="5"/>
      <c r="R2" s="5"/>
      <c r="S2" s="5"/>
      <c r="T2" s="5"/>
      <c r="U2" s="5"/>
      <c r="V2" s="5"/>
      <c r="W2" s="5"/>
      <c r="X2" s="5"/>
      <c r="Y2" s="5"/>
      <c r="Z2" s="5"/>
    </row>
    <row r="3" spans="1:26">
      <c r="A3" s="5"/>
      <c r="B3" s="5"/>
      <c r="C3" s="5"/>
      <c r="D3" s="5"/>
      <c r="E3" s="5"/>
      <c r="F3" s="5"/>
      <c r="G3" s="5"/>
      <c r="H3" s="5"/>
      <c r="I3" s="5"/>
      <c r="J3" s="5"/>
      <c r="K3" s="5"/>
      <c r="L3" s="5"/>
      <c r="M3" s="5"/>
      <c r="N3" s="5"/>
      <c r="O3" s="5"/>
      <c r="P3" s="5"/>
      <c r="Q3" s="5"/>
      <c r="R3" s="5"/>
      <c r="S3" s="5"/>
      <c r="T3" s="5"/>
      <c r="U3" s="5"/>
      <c r="V3" s="5"/>
      <c r="W3" s="5"/>
      <c r="X3" s="5"/>
      <c r="Y3" s="5"/>
      <c r="Z3" s="5"/>
    </row>
    <row r="4" spans="1:26" ht="21" customHeight="1">
      <c r="A4" s="140" t="s">
        <v>60</v>
      </c>
      <c r="B4" s="140"/>
      <c r="C4" s="140"/>
      <c r="D4" s="140"/>
      <c r="E4" s="140"/>
      <c r="F4" s="140"/>
      <c r="G4" s="140"/>
      <c r="H4" s="140"/>
      <c r="I4" s="5"/>
      <c r="J4" s="5"/>
      <c r="K4" s="5"/>
      <c r="L4" s="5"/>
      <c r="M4" s="5"/>
      <c r="N4" s="5"/>
      <c r="O4" s="5"/>
      <c r="P4" s="5"/>
      <c r="Q4" s="5"/>
      <c r="R4" s="5"/>
      <c r="S4" s="5"/>
      <c r="T4" s="5"/>
      <c r="U4" s="5"/>
      <c r="V4" s="5"/>
      <c r="W4" s="5"/>
      <c r="X4" s="5"/>
      <c r="Y4" s="5"/>
      <c r="Z4" s="5"/>
    </row>
    <row r="5" spans="1:26" ht="15">
      <c r="A5" s="2" t="s">
        <v>61</v>
      </c>
      <c r="B5" s="2" t="s">
        <v>47</v>
      </c>
      <c r="C5" s="2" t="s">
        <v>62</v>
      </c>
      <c r="D5" s="2" t="s">
        <v>63</v>
      </c>
      <c r="E5" s="2" t="s">
        <v>64</v>
      </c>
      <c r="F5" s="2" t="s">
        <v>65</v>
      </c>
      <c r="G5" s="2" t="s">
        <v>66</v>
      </c>
      <c r="H5" s="2" t="s">
        <v>6</v>
      </c>
      <c r="I5" s="5"/>
      <c r="J5" s="5"/>
      <c r="K5" s="5"/>
      <c r="L5" s="5"/>
      <c r="M5" s="5"/>
      <c r="N5" s="5"/>
      <c r="O5" s="5"/>
      <c r="P5" s="5"/>
      <c r="Q5" s="5"/>
      <c r="R5" s="5"/>
      <c r="S5" s="5"/>
      <c r="T5" s="5"/>
      <c r="U5" s="5"/>
      <c r="V5" s="5"/>
      <c r="W5" s="5"/>
      <c r="X5" s="5"/>
      <c r="Y5" s="5"/>
      <c r="Z5" s="5"/>
    </row>
    <row r="6" spans="1:26">
      <c r="A6" s="3" t="s">
        <v>67</v>
      </c>
      <c r="B6" s="7">
        <f>'FY28 Foundation'!B16</f>
        <v>4764889.2890519993</v>
      </c>
      <c r="C6" s="3" t="s">
        <v>68</v>
      </c>
      <c r="D6" s="3" t="s">
        <v>69</v>
      </c>
      <c r="E6" s="3" t="s">
        <v>70</v>
      </c>
      <c r="F6" s="3" t="s">
        <v>71</v>
      </c>
      <c r="G6" s="3"/>
      <c r="H6" s="3" t="s">
        <v>20</v>
      </c>
      <c r="I6" s="5"/>
      <c r="J6" s="5"/>
      <c r="K6" s="5"/>
      <c r="L6" s="5"/>
      <c r="M6" s="5"/>
      <c r="N6" s="5"/>
      <c r="O6" s="5"/>
      <c r="P6" s="5"/>
      <c r="Q6" s="5"/>
      <c r="R6" s="5"/>
      <c r="S6" s="5"/>
      <c r="T6" s="5"/>
      <c r="U6" s="5"/>
      <c r="V6" s="5"/>
      <c r="W6" s="5"/>
      <c r="X6" s="5"/>
      <c r="Y6" s="5"/>
      <c r="Z6" s="5"/>
    </row>
    <row r="7" spans="1:26">
      <c r="A7" s="3" t="s">
        <v>72</v>
      </c>
      <c r="B7" s="7">
        <f>'FY28 Foundation'!B18</f>
        <v>11447.181475199999</v>
      </c>
      <c r="C7" s="3" t="s">
        <v>68</v>
      </c>
      <c r="D7" s="3" t="s">
        <v>69</v>
      </c>
      <c r="E7" s="3" t="s">
        <v>73</v>
      </c>
      <c r="F7" s="3" t="s">
        <v>71</v>
      </c>
      <c r="G7" s="3"/>
      <c r="H7" s="3" t="s">
        <v>20</v>
      </c>
      <c r="I7" s="5"/>
      <c r="J7" s="5"/>
      <c r="K7" s="5"/>
      <c r="L7" s="5"/>
      <c r="M7" s="5"/>
      <c r="N7" s="5"/>
      <c r="O7" s="5"/>
      <c r="P7" s="5"/>
      <c r="Q7" s="5"/>
      <c r="R7" s="5"/>
      <c r="S7" s="5"/>
      <c r="T7" s="5"/>
      <c r="U7" s="5"/>
      <c r="V7" s="5"/>
      <c r="W7" s="5"/>
      <c r="X7" s="5"/>
      <c r="Y7" s="5"/>
      <c r="Z7" s="5"/>
    </row>
    <row r="8" spans="1:26" ht="28.5">
      <c r="A8" s="3" t="s">
        <v>74</v>
      </c>
      <c r="B8" s="7">
        <f>'FY28 In-Kind &amp; Rent'!B12</f>
        <v>1089306.6299999999</v>
      </c>
      <c r="C8" s="3" t="s">
        <v>75</v>
      </c>
      <c r="D8" s="3" t="s">
        <v>76</v>
      </c>
      <c r="E8" s="3" t="s">
        <v>77</v>
      </c>
      <c r="F8" s="3" t="s">
        <v>71</v>
      </c>
      <c r="G8" s="3"/>
      <c r="H8" s="3" t="s">
        <v>20</v>
      </c>
      <c r="I8" s="5"/>
      <c r="J8" s="5"/>
      <c r="K8" s="5"/>
      <c r="L8" s="5"/>
      <c r="M8" s="5"/>
      <c r="N8" s="5"/>
      <c r="O8" s="5"/>
      <c r="P8" s="5"/>
      <c r="Q8" s="5"/>
      <c r="R8" s="5"/>
      <c r="S8" s="5"/>
      <c r="T8" s="5"/>
      <c r="U8" s="5"/>
      <c r="V8" s="5"/>
      <c r="W8" s="5"/>
      <c r="X8" s="5"/>
      <c r="Y8" s="5"/>
      <c r="Z8" s="5"/>
    </row>
    <row r="9" spans="1:26" ht="15">
      <c r="A9" s="11" t="s">
        <v>78</v>
      </c>
      <c r="B9" s="12">
        <f>SUM(B6:B8)</f>
        <v>5865643.100527199</v>
      </c>
      <c r="C9" s="11" t="s">
        <v>79</v>
      </c>
      <c r="D9" s="11"/>
      <c r="E9" s="11"/>
      <c r="F9" s="11" t="s">
        <v>71</v>
      </c>
      <c r="G9" s="11"/>
      <c r="H9" s="11" t="s">
        <v>17</v>
      </c>
      <c r="I9" s="5"/>
      <c r="J9" s="5"/>
      <c r="K9" s="5"/>
      <c r="L9" s="5"/>
      <c r="M9" s="5"/>
      <c r="N9" s="5"/>
      <c r="O9" s="5"/>
      <c r="P9" s="5"/>
      <c r="Q9" s="5"/>
      <c r="R9" s="5"/>
      <c r="S9" s="5"/>
      <c r="T9" s="5"/>
      <c r="U9" s="5"/>
      <c r="V9" s="5"/>
      <c r="W9" s="5"/>
      <c r="X9" s="5"/>
      <c r="Y9" s="5"/>
      <c r="Z9" s="5"/>
    </row>
    <row r="10" spans="1:26" ht="28.5">
      <c r="A10" s="3" t="s">
        <v>80</v>
      </c>
      <c r="B10" s="7">
        <f>'FY28 Foundation'!B21</f>
        <v>183705.24886643075</v>
      </c>
      <c r="C10" s="3" t="s">
        <v>68</v>
      </c>
      <c r="D10" s="3" t="s">
        <v>69</v>
      </c>
      <c r="E10" s="3" t="s">
        <v>81</v>
      </c>
      <c r="F10" s="3" t="s">
        <v>82</v>
      </c>
      <c r="G10" s="3"/>
      <c r="H10" s="3" t="s">
        <v>20</v>
      </c>
      <c r="I10" s="5"/>
      <c r="J10" s="5"/>
      <c r="K10" s="5"/>
      <c r="L10" s="5"/>
      <c r="M10" s="5"/>
      <c r="N10" s="5"/>
      <c r="O10" s="5"/>
      <c r="P10" s="5"/>
      <c r="Q10" s="5"/>
      <c r="R10" s="5"/>
      <c r="S10" s="5"/>
      <c r="T10" s="5"/>
      <c r="U10" s="5"/>
      <c r="V10" s="5"/>
      <c r="W10" s="5"/>
      <c r="X10" s="5"/>
      <c r="Y10" s="5"/>
      <c r="Z10" s="5"/>
    </row>
    <row r="11" spans="1:26" ht="42.75">
      <c r="A11" s="3" t="s">
        <v>83</v>
      </c>
      <c r="B11" s="7">
        <f>'FY28 In-Kind &amp; Rent'!D23</f>
        <v>706241.85060000001</v>
      </c>
      <c r="C11" s="3" t="s">
        <v>75</v>
      </c>
      <c r="D11" s="3" t="s">
        <v>76</v>
      </c>
      <c r="E11" s="3" t="s">
        <v>84</v>
      </c>
      <c r="F11" s="3" t="s">
        <v>85</v>
      </c>
      <c r="G11" s="3"/>
      <c r="H11" s="3" t="s">
        <v>20</v>
      </c>
      <c r="I11" s="5"/>
      <c r="J11" s="5"/>
      <c r="K11" s="5"/>
      <c r="L11" s="5"/>
      <c r="M11" s="5"/>
      <c r="N11" s="5"/>
      <c r="O11" s="5"/>
      <c r="P11" s="5"/>
      <c r="Q11" s="5"/>
      <c r="R11" s="5"/>
      <c r="S11" s="5"/>
      <c r="T11" s="5"/>
      <c r="U11" s="5"/>
      <c r="V11" s="5"/>
      <c r="W11" s="5"/>
      <c r="X11" s="5"/>
      <c r="Y11" s="5"/>
      <c r="Z11" s="5"/>
    </row>
    <row r="12" spans="1:26">
      <c r="A12" s="3" t="s">
        <v>86</v>
      </c>
      <c r="B12" s="7">
        <f>ABS('FY28 In-Kind &amp; Rent'!B31)</f>
        <v>447155.52637499996</v>
      </c>
      <c r="C12" s="3" t="s">
        <v>87</v>
      </c>
      <c r="D12" s="3" t="s">
        <v>76</v>
      </c>
      <c r="E12" s="3" t="s">
        <v>88</v>
      </c>
      <c r="F12" s="3" t="s">
        <v>85</v>
      </c>
      <c r="G12" s="3"/>
      <c r="H12" s="3" t="s">
        <v>20</v>
      </c>
      <c r="I12" s="5"/>
      <c r="J12" s="5"/>
      <c r="K12" s="5"/>
      <c r="L12" s="5"/>
      <c r="M12" s="5"/>
      <c r="N12" s="5"/>
      <c r="O12" s="5"/>
      <c r="P12" s="5"/>
      <c r="Q12" s="5"/>
      <c r="R12" s="5"/>
      <c r="S12" s="5"/>
      <c r="T12" s="5"/>
      <c r="U12" s="5"/>
      <c r="V12" s="5"/>
      <c r="W12" s="5"/>
      <c r="X12" s="5"/>
      <c r="Y12" s="5"/>
      <c r="Z12" s="5"/>
    </row>
    <row r="13" spans="1:26" ht="60">
      <c r="A13" s="11" t="s">
        <v>89</v>
      </c>
      <c r="B13" s="12">
        <f>B9-SUM(B10:B12)</f>
        <v>4528540.4746857686</v>
      </c>
      <c r="C13" s="11" t="s">
        <v>90</v>
      </c>
      <c r="D13" s="11"/>
      <c r="E13" s="11"/>
      <c r="F13" s="11" t="s">
        <v>91</v>
      </c>
      <c r="G13" s="11"/>
      <c r="H13" s="11" t="s">
        <v>17</v>
      </c>
      <c r="I13" s="5"/>
      <c r="J13" s="5"/>
      <c r="K13" s="5"/>
      <c r="L13" s="5"/>
      <c r="M13" s="5"/>
      <c r="N13" s="5"/>
      <c r="O13" s="5"/>
      <c r="P13" s="5"/>
      <c r="Q13" s="5"/>
      <c r="R13" s="5"/>
      <c r="S13" s="5"/>
      <c r="T13" s="5"/>
      <c r="U13" s="5"/>
      <c r="V13" s="5"/>
      <c r="W13" s="5"/>
      <c r="X13" s="5"/>
      <c r="Y13" s="5"/>
      <c r="Z13" s="5"/>
    </row>
    <row r="14" spans="1:26">
      <c r="A14" s="3"/>
      <c r="B14" s="27"/>
      <c r="C14" s="3"/>
      <c r="D14" s="3"/>
      <c r="E14" s="3"/>
      <c r="F14" s="3"/>
      <c r="G14" s="3"/>
      <c r="H14" s="3"/>
      <c r="I14" s="5"/>
      <c r="J14" s="5"/>
      <c r="K14" s="5"/>
      <c r="L14" s="5"/>
      <c r="M14" s="5"/>
      <c r="N14" s="5"/>
      <c r="O14" s="5"/>
      <c r="P14" s="5"/>
      <c r="Q14" s="5"/>
      <c r="R14" s="5"/>
      <c r="S14" s="5"/>
      <c r="T14" s="5"/>
      <c r="U14" s="5"/>
      <c r="V14" s="5"/>
      <c r="W14" s="5"/>
      <c r="X14" s="5"/>
      <c r="Y14" s="5"/>
      <c r="Z14" s="5"/>
    </row>
    <row r="15" spans="1:26" ht="21" customHeight="1">
      <c r="A15" s="141" t="s">
        <v>92</v>
      </c>
      <c r="B15" s="147"/>
      <c r="C15" s="141"/>
      <c r="D15" s="141"/>
      <c r="E15" s="141"/>
      <c r="F15" s="141"/>
      <c r="G15" s="141"/>
      <c r="H15" s="141"/>
      <c r="I15" s="5"/>
      <c r="J15" s="5"/>
      <c r="K15" s="5"/>
      <c r="L15" s="5"/>
      <c r="M15" s="5"/>
      <c r="N15" s="5"/>
      <c r="O15" s="5"/>
      <c r="P15" s="5"/>
      <c r="Q15" s="5"/>
      <c r="R15" s="5"/>
      <c r="S15" s="5"/>
      <c r="T15" s="5"/>
      <c r="U15" s="5"/>
      <c r="V15" s="5"/>
      <c r="W15" s="5"/>
      <c r="X15" s="5"/>
      <c r="Y15" s="5"/>
      <c r="Z15" s="5"/>
    </row>
    <row r="16" spans="1:26" ht="30">
      <c r="A16" s="2" t="s">
        <v>93</v>
      </c>
      <c r="B16" s="133" t="s">
        <v>94</v>
      </c>
      <c r="C16" s="2" t="s">
        <v>95</v>
      </c>
      <c r="D16" s="2" t="s">
        <v>96</v>
      </c>
      <c r="E16" s="2" t="s">
        <v>63</v>
      </c>
      <c r="F16" s="2" t="s">
        <v>97</v>
      </c>
      <c r="G16" s="2" t="s">
        <v>66</v>
      </c>
      <c r="H16" s="2" t="s">
        <v>6</v>
      </c>
      <c r="I16" s="5"/>
      <c r="J16" s="5"/>
      <c r="K16" s="5"/>
      <c r="L16" s="5"/>
      <c r="M16" s="5"/>
      <c r="N16" s="5"/>
      <c r="O16" s="5"/>
      <c r="P16" s="5"/>
      <c r="Q16" s="5"/>
      <c r="R16" s="5"/>
      <c r="S16" s="5"/>
      <c r="T16" s="5"/>
      <c r="U16" s="5"/>
      <c r="V16" s="5"/>
      <c r="W16" s="5"/>
      <c r="X16" s="5"/>
      <c r="Y16" s="5"/>
      <c r="Z16" s="5"/>
    </row>
    <row r="17" spans="1:26" ht="57">
      <c r="A17" s="3" t="s">
        <v>48</v>
      </c>
      <c r="B17" s="7">
        <f>'Staffing Plan'!D23</f>
        <v>2005757.2849999999</v>
      </c>
      <c r="C17" s="3" t="s">
        <v>98</v>
      </c>
      <c r="D17" s="3" t="s">
        <v>99</v>
      </c>
      <c r="E17" s="3"/>
      <c r="F17" s="134">
        <f t="shared" ref="F17:F28" si="0">B17/$B$13</f>
        <v>0.44291473074206711</v>
      </c>
      <c r="G17" s="3" t="s">
        <v>1038</v>
      </c>
      <c r="H17" s="3" t="s">
        <v>17</v>
      </c>
      <c r="I17" s="5"/>
      <c r="J17" s="5"/>
      <c r="K17" s="5"/>
      <c r="L17" s="5"/>
      <c r="M17" s="5"/>
      <c r="N17" s="5"/>
      <c r="O17" s="5"/>
      <c r="P17" s="5"/>
      <c r="Q17" s="5"/>
      <c r="R17" s="5"/>
      <c r="S17" s="5"/>
      <c r="T17" s="5"/>
      <c r="U17" s="5"/>
      <c r="V17" s="5"/>
      <c r="W17" s="5"/>
      <c r="X17" s="5"/>
      <c r="Y17" s="5"/>
      <c r="Z17" s="5"/>
    </row>
    <row r="18" spans="1:26">
      <c r="A18" s="3" t="s">
        <v>49</v>
      </c>
      <c r="B18" s="7">
        <f>'Staffing Plan'!D32</f>
        <v>628197.57474825718</v>
      </c>
      <c r="C18" s="3" t="s">
        <v>98</v>
      </c>
      <c r="D18" s="3" t="s">
        <v>99</v>
      </c>
      <c r="E18" s="3"/>
      <c r="F18" s="134">
        <f t="shared" si="0"/>
        <v>0.13871965554019858</v>
      </c>
      <c r="G18" s="3" t="s">
        <v>100</v>
      </c>
      <c r="H18" s="3" t="s">
        <v>17</v>
      </c>
      <c r="I18" s="5"/>
      <c r="J18" s="5"/>
      <c r="K18" s="5"/>
      <c r="L18" s="5"/>
      <c r="M18" s="5"/>
      <c r="N18" s="5"/>
      <c r="O18" s="5"/>
      <c r="P18" s="5"/>
      <c r="Q18" s="5"/>
      <c r="R18" s="5"/>
      <c r="S18" s="5"/>
      <c r="T18" s="5"/>
      <c r="U18" s="5"/>
      <c r="V18" s="5"/>
      <c r="W18" s="5"/>
      <c r="X18" s="5"/>
      <c r="Y18" s="5"/>
      <c r="Z18" s="5"/>
    </row>
    <row r="19" spans="1:26">
      <c r="A19" s="3" t="s">
        <v>50</v>
      </c>
      <c r="B19" s="7">
        <f>('Staffing Plan'!D23+'Staffing Plan'!D32)*'Staffing Plan'!B14</f>
        <v>1598614.8166003872</v>
      </c>
      <c r="C19" s="3" t="s">
        <v>101</v>
      </c>
      <c r="D19" s="3" t="s">
        <v>102</v>
      </c>
      <c r="E19" s="3" t="s">
        <v>103</v>
      </c>
      <c r="F19" s="134">
        <f t="shared" si="0"/>
        <v>0.35300883927979326</v>
      </c>
      <c r="G19" s="3" t="s">
        <v>104</v>
      </c>
      <c r="H19" s="3" t="s">
        <v>17</v>
      </c>
      <c r="I19" s="5"/>
      <c r="J19" s="5"/>
      <c r="K19" s="5"/>
      <c r="L19" s="5"/>
      <c r="M19" s="5"/>
      <c r="N19" s="5"/>
      <c r="O19" s="5"/>
      <c r="P19" s="5"/>
      <c r="Q19" s="5"/>
      <c r="R19" s="5"/>
      <c r="S19" s="5"/>
      <c r="T19" s="5"/>
      <c r="U19" s="5"/>
      <c r="V19" s="5"/>
      <c r="W19" s="5"/>
      <c r="X19" s="5"/>
      <c r="Y19" s="5"/>
      <c r="Z19" s="5"/>
    </row>
    <row r="20" spans="1:26" ht="28.5">
      <c r="A20" s="3" t="s">
        <v>1039</v>
      </c>
      <c r="B20" s="13">
        <v>20000</v>
      </c>
      <c r="C20" s="3" t="s">
        <v>1040</v>
      </c>
      <c r="D20" s="3" t="s">
        <v>148</v>
      </c>
      <c r="E20" s="3"/>
      <c r="F20" s="134">
        <f t="shared" si="0"/>
        <v>4.4164339728878727E-3</v>
      </c>
      <c r="G20" s="3" t="s">
        <v>1041</v>
      </c>
      <c r="H20" s="3" t="s">
        <v>148</v>
      </c>
      <c r="I20" s="5"/>
      <c r="J20" s="5"/>
      <c r="K20" s="5"/>
      <c r="L20" s="5"/>
      <c r="M20" s="5"/>
      <c r="N20" s="5"/>
      <c r="O20" s="5"/>
      <c r="P20" s="5"/>
      <c r="Q20" s="5"/>
      <c r="R20" s="5"/>
      <c r="S20" s="5"/>
      <c r="T20" s="5"/>
      <c r="U20" s="5"/>
      <c r="V20" s="5"/>
      <c r="W20" s="5"/>
      <c r="X20" s="5"/>
      <c r="Y20" s="5"/>
      <c r="Z20" s="5"/>
    </row>
    <row r="21" spans="1:26" ht="42.75">
      <c r="A21" s="3" t="s">
        <v>1042</v>
      </c>
      <c r="B21" s="13">
        <v>221218</v>
      </c>
      <c r="C21" s="3" t="s">
        <v>1043</v>
      </c>
      <c r="D21" s="3" t="s">
        <v>1044</v>
      </c>
      <c r="E21" s="3" t="s">
        <v>1032</v>
      </c>
      <c r="F21" s="134">
        <f t="shared" si="0"/>
        <v>4.8849734530715463E-2</v>
      </c>
      <c r="G21" s="3" t="s">
        <v>1045</v>
      </c>
      <c r="H21" s="3" t="s">
        <v>869</v>
      </c>
      <c r="I21" s="5"/>
      <c r="J21" s="5"/>
      <c r="K21" s="5"/>
      <c r="L21" s="5"/>
      <c r="M21" s="5"/>
      <c r="N21" s="5"/>
      <c r="O21" s="5"/>
      <c r="P21" s="5"/>
      <c r="Q21" s="5"/>
      <c r="R21" s="5"/>
      <c r="S21" s="5"/>
      <c r="T21" s="5"/>
      <c r="U21" s="5"/>
      <c r="V21" s="5"/>
      <c r="W21" s="5"/>
      <c r="X21" s="5"/>
      <c r="Y21" s="5"/>
      <c r="Z21" s="5"/>
    </row>
    <row r="22" spans="1:26" ht="28.5">
      <c r="A22" s="3" t="s">
        <v>1046</v>
      </c>
      <c r="B22" s="13">
        <v>5000</v>
      </c>
      <c r="C22" s="3" t="s">
        <v>1047</v>
      </c>
      <c r="D22" s="3" t="s">
        <v>1048</v>
      </c>
      <c r="E22" s="3"/>
      <c r="F22" s="134">
        <f t="shared" si="0"/>
        <v>1.1041084932219682E-3</v>
      </c>
      <c r="G22" s="3" t="s">
        <v>1049</v>
      </c>
      <c r="H22" s="3" t="s">
        <v>148</v>
      </c>
      <c r="I22" s="5"/>
      <c r="J22" s="5"/>
      <c r="K22" s="5"/>
      <c r="L22" s="5"/>
      <c r="M22" s="5"/>
      <c r="N22" s="5"/>
      <c r="O22" s="5"/>
      <c r="P22" s="5"/>
      <c r="Q22" s="5"/>
      <c r="R22" s="5"/>
      <c r="S22" s="5"/>
      <c r="T22" s="5"/>
      <c r="U22" s="5"/>
      <c r="V22" s="5"/>
      <c r="W22" s="5"/>
      <c r="X22" s="5"/>
      <c r="Y22" s="5"/>
      <c r="Z22" s="5"/>
    </row>
    <row r="23" spans="1:26" ht="28.5">
      <c r="A23" s="3" t="s">
        <v>1050</v>
      </c>
      <c r="B23" s="13">
        <v>25000</v>
      </c>
      <c r="C23" s="3" t="s">
        <v>1051</v>
      </c>
      <c r="D23" s="3" t="s">
        <v>1048</v>
      </c>
      <c r="E23" s="3"/>
      <c r="F23" s="134">
        <f t="shared" si="0"/>
        <v>5.5205424661098406E-3</v>
      </c>
      <c r="G23" s="3" t="s">
        <v>1052</v>
      </c>
      <c r="H23" s="3" t="s">
        <v>148</v>
      </c>
      <c r="I23" s="5"/>
      <c r="J23" s="5"/>
      <c r="K23" s="5"/>
      <c r="L23" s="5"/>
      <c r="M23" s="5"/>
      <c r="N23" s="5"/>
      <c r="O23" s="5"/>
      <c r="P23" s="5"/>
      <c r="Q23" s="5"/>
      <c r="R23" s="5"/>
      <c r="S23" s="5"/>
      <c r="T23" s="5"/>
      <c r="U23" s="5"/>
      <c r="V23" s="5"/>
      <c r="W23" s="5"/>
      <c r="X23" s="5"/>
      <c r="Y23" s="5"/>
      <c r="Z23" s="5"/>
    </row>
    <row r="24" spans="1:26" ht="28.5">
      <c r="A24" s="3" t="s">
        <v>1053</v>
      </c>
      <c r="B24" s="13">
        <v>5000</v>
      </c>
      <c r="C24" s="3" t="s">
        <v>1054</v>
      </c>
      <c r="D24" s="3" t="s">
        <v>148</v>
      </c>
      <c r="E24" s="3"/>
      <c r="F24" s="134">
        <f t="shared" si="0"/>
        <v>1.1041084932219682E-3</v>
      </c>
      <c r="G24" s="3" t="s">
        <v>1055</v>
      </c>
      <c r="H24" s="3" t="s">
        <v>148</v>
      </c>
      <c r="I24" s="5"/>
      <c r="J24" s="5"/>
      <c r="K24" s="5"/>
      <c r="L24" s="5"/>
      <c r="M24" s="5"/>
      <c r="N24" s="5"/>
      <c r="O24" s="5"/>
      <c r="P24" s="5"/>
      <c r="Q24" s="5"/>
      <c r="R24" s="5"/>
      <c r="S24" s="5"/>
      <c r="T24" s="5"/>
      <c r="U24" s="5"/>
      <c r="V24" s="5"/>
      <c r="W24" s="5"/>
      <c r="X24" s="5"/>
      <c r="Y24" s="5"/>
      <c r="Z24" s="5"/>
    </row>
    <row r="25" spans="1:26" ht="28.5">
      <c r="A25" s="3" t="s">
        <v>1056</v>
      </c>
      <c r="B25" s="13">
        <v>5000</v>
      </c>
      <c r="C25" s="3" t="s">
        <v>1057</v>
      </c>
      <c r="D25" s="3" t="s">
        <v>1048</v>
      </c>
      <c r="E25" s="3"/>
      <c r="F25" s="134">
        <f t="shared" si="0"/>
        <v>1.1041084932219682E-3</v>
      </c>
      <c r="G25" s="3" t="s">
        <v>1058</v>
      </c>
      <c r="H25" s="3" t="s">
        <v>148</v>
      </c>
      <c r="I25" s="5"/>
      <c r="J25" s="5"/>
      <c r="K25" s="5"/>
      <c r="L25" s="5"/>
      <c r="M25" s="5"/>
      <c r="N25" s="5"/>
      <c r="O25" s="5"/>
      <c r="P25" s="5"/>
      <c r="Q25" s="5"/>
      <c r="R25" s="5"/>
      <c r="S25" s="5"/>
      <c r="T25" s="5"/>
      <c r="U25" s="5"/>
      <c r="V25" s="5"/>
      <c r="W25" s="5"/>
      <c r="X25" s="5"/>
      <c r="Y25" s="5"/>
      <c r="Z25" s="5"/>
    </row>
    <row r="26" spans="1:26" ht="28.5">
      <c r="A26" s="3" t="s">
        <v>105</v>
      </c>
      <c r="B26" s="14">
        <f>$B$13-SUM(B17:B25)</f>
        <v>14752.798337124288</v>
      </c>
      <c r="C26" s="3" t="s">
        <v>106</v>
      </c>
      <c r="D26" s="3" t="s">
        <v>17</v>
      </c>
      <c r="E26" s="3"/>
      <c r="F26" s="134">
        <f t="shared" si="0"/>
        <v>3.2577379885619707E-3</v>
      </c>
      <c r="G26" s="3" t="s">
        <v>107</v>
      </c>
      <c r="H26" s="3" t="s">
        <v>17</v>
      </c>
      <c r="I26" s="5"/>
      <c r="J26" s="5"/>
      <c r="K26" s="5"/>
      <c r="L26" s="5"/>
      <c r="M26" s="5"/>
      <c r="N26" s="5"/>
      <c r="O26" s="5"/>
      <c r="P26" s="5"/>
      <c r="Q26" s="5"/>
      <c r="R26" s="5"/>
      <c r="S26" s="5"/>
      <c r="T26" s="5"/>
      <c r="U26" s="5"/>
      <c r="V26" s="5"/>
      <c r="W26" s="5"/>
      <c r="X26" s="5"/>
      <c r="Y26" s="5"/>
      <c r="Z26" s="5"/>
    </row>
    <row r="27" spans="1:26" ht="30">
      <c r="A27" s="11" t="s">
        <v>108</v>
      </c>
      <c r="B27" s="12">
        <f>SUM(B17:B26)</f>
        <v>4528540.4746857686</v>
      </c>
      <c r="C27" s="11" t="s">
        <v>109</v>
      </c>
      <c r="D27" s="11"/>
      <c r="E27" s="11"/>
      <c r="F27" s="136">
        <f t="shared" si="0"/>
        <v>1</v>
      </c>
      <c r="G27" s="11"/>
      <c r="H27" s="11" t="s">
        <v>17</v>
      </c>
      <c r="I27" s="5"/>
      <c r="J27" s="5"/>
      <c r="K27" s="5"/>
      <c r="L27" s="5"/>
      <c r="M27" s="5"/>
      <c r="N27" s="5"/>
      <c r="O27" s="5"/>
      <c r="P27" s="5"/>
      <c r="Q27" s="5"/>
      <c r="R27" s="5"/>
      <c r="S27" s="5"/>
      <c r="T27" s="5"/>
      <c r="U27" s="5"/>
      <c r="V27" s="5"/>
      <c r="W27" s="5"/>
      <c r="X27" s="5"/>
      <c r="Y27" s="5"/>
      <c r="Z27" s="5"/>
    </row>
    <row r="28" spans="1:26" ht="15">
      <c r="A28" s="15" t="s">
        <v>110</v>
      </c>
      <c r="B28" s="16">
        <f>$B$13-B27</f>
        <v>0</v>
      </c>
      <c r="C28" s="15" t="s">
        <v>111</v>
      </c>
      <c r="D28" s="15"/>
      <c r="E28" s="15"/>
      <c r="F28" s="137">
        <f t="shared" si="0"/>
        <v>0</v>
      </c>
      <c r="G28" s="15"/>
      <c r="H28" s="15" t="s">
        <v>17</v>
      </c>
      <c r="I28" s="5"/>
      <c r="J28" s="5"/>
      <c r="K28" s="5"/>
      <c r="L28" s="5"/>
      <c r="M28" s="5"/>
      <c r="N28" s="5"/>
      <c r="O28" s="5"/>
      <c r="P28" s="5"/>
      <c r="Q28" s="5"/>
      <c r="R28" s="5"/>
      <c r="S28" s="5"/>
      <c r="T28" s="5"/>
      <c r="U28" s="5"/>
      <c r="V28" s="5"/>
      <c r="W28" s="5"/>
      <c r="X28" s="5"/>
      <c r="Y28" s="5"/>
      <c r="Z28" s="5"/>
    </row>
    <row r="29" spans="1:26">
      <c r="A29" s="3"/>
      <c r="B29" s="3"/>
      <c r="C29" s="3"/>
      <c r="D29" s="3"/>
      <c r="E29" s="3"/>
      <c r="F29" s="3"/>
      <c r="G29" s="3"/>
      <c r="H29" s="3"/>
      <c r="I29" s="5"/>
      <c r="J29" s="5"/>
      <c r="K29" s="5"/>
      <c r="L29" s="5"/>
      <c r="M29" s="5"/>
      <c r="N29" s="5"/>
      <c r="O29" s="5"/>
      <c r="P29" s="5"/>
      <c r="Q29" s="5"/>
      <c r="R29" s="5"/>
      <c r="S29" s="5"/>
      <c r="T29" s="5"/>
      <c r="U29" s="5"/>
      <c r="V29" s="5"/>
      <c r="W29" s="5"/>
      <c r="X29" s="5"/>
      <c r="Y29" s="5"/>
      <c r="Z29" s="5"/>
    </row>
    <row r="30" spans="1:26" ht="21" customHeight="1">
      <c r="A30" s="141" t="s">
        <v>112</v>
      </c>
      <c r="B30" s="141"/>
      <c r="C30" s="141"/>
      <c r="D30" s="141"/>
      <c r="E30" s="141"/>
      <c r="F30" s="141"/>
      <c r="G30" s="141"/>
      <c r="H30" s="141"/>
      <c r="I30" s="5"/>
      <c r="J30" s="5"/>
      <c r="K30" s="5"/>
      <c r="L30" s="5"/>
      <c r="M30" s="5"/>
      <c r="N30" s="5"/>
      <c r="O30" s="5"/>
      <c r="P30" s="5"/>
      <c r="Q30" s="5"/>
      <c r="R30" s="5"/>
      <c r="S30" s="5"/>
      <c r="T30" s="5"/>
      <c r="U30" s="5"/>
      <c r="V30" s="5"/>
      <c r="W30" s="5"/>
      <c r="X30" s="5"/>
      <c r="Y30" s="5"/>
      <c r="Z30" s="5"/>
    </row>
    <row r="31" spans="1:26" ht="15">
      <c r="A31" s="2" t="s">
        <v>3</v>
      </c>
      <c r="B31" s="2" t="s">
        <v>4</v>
      </c>
      <c r="C31" s="2" t="s">
        <v>113</v>
      </c>
      <c r="D31" s="2" t="s">
        <v>114</v>
      </c>
      <c r="E31" s="3"/>
      <c r="F31" s="3"/>
      <c r="G31" s="3"/>
      <c r="H31" s="3"/>
      <c r="I31" s="5"/>
      <c r="J31" s="5"/>
      <c r="K31" s="5"/>
      <c r="L31" s="5"/>
      <c r="M31" s="5"/>
      <c r="N31" s="5"/>
      <c r="O31" s="5"/>
      <c r="P31" s="5"/>
      <c r="Q31" s="5"/>
      <c r="R31" s="5"/>
      <c r="S31" s="5"/>
      <c r="T31" s="5"/>
      <c r="U31" s="5"/>
      <c r="V31" s="5"/>
      <c r="W31" s="5"/>
      <c r="X31" s="5"/>
      <c r="Y31" s="5"/>
      <c r="Z31" s="5"/>
    </row>
    <row r="32" spans="1:26">
      <c r="A32" s="3" t="s">
        <v>115</v>
      </c>
      <c r="B32" s="6">
        <f>'FY28 Foundation'!B5</f>
        <v>290</v>
      </c>
      <c r="C32" s="3" t="s">
        <v>116</v>
      </c>
      <c r="D32" s="3" t="s">
        <v>69</v>
      </c>
      <c r="E32" s="3"/>
      <c r="F32" s="3"/>
      <c r="G32" s="3"/>
      <c r="H32" s="3"/>
      <c r="I32" s="5"/>
      <c r="J32" s="5"/>
      <c r="K32" s="5"/>
      <c r="L32" s="5"/>
      <c r="M32" s="5"/>
      <c r="N32" s="5"/>
      <c r="O32" s="5"/>
      <c r="P32" s="5"/>
      <c r="Q32" s="5"/>
      <c r="R32" s="5"/>
      <c r="S32" s="5"/>
      <c r="T32" s="5"/>
      <c r="U32" s="5"/>
      <c r="V32" s="5"/>
      <c r="W32" s="5"/>
      <c r="X32" s="5"/>
      <c r="Y32" s="5"/>
      <c r="Z32" s="5"/>
    </row>
    <row r="33" spans="1:26">
      <c r="A33" s="3" t="s">
        <v>117</v>
      </c>
      <c r="B33" s="6">
        <f>'FY26 Baseline'!G36</f>
        <v>34.96</v>
      </c>
      <c r="C33" s="3" t="s">
        <v>118</v>
      </c>
      <c r="D33" s="3" t="s">
        <v>119</v>
      </c>
      <c r="E33" s="3"/>
      <c r="F33" s="3"/>
      <c r="G33" s="3"/>
      <c r="H33" s="3"/>
      <c r="I33" s="5"/>
      <c r="J33" s="5"/>
      <c r="K33" s="5"/>
      <c r="L33" s="5"/>
      <c r="M33" s="5"/>
      <c r="N33" s="5"/>
      <c r="O33" s="5"/>
      <c r="P33" s="5"/>
      <c r="Q33" s="5"/>
      <c r="R33" s="5"/>
      <c r="S33" s="5"/>
      <c r="T33" s="5"/>
      <c r="U33" s="5"/>
      <c r="V33" s="5"/>
      <c r="W33" s="5"/>
      <c r="X33" s="5"/>
      <c r="Y33" s="5"/>
      <c r="Z33" s="5"/>
    </row>
    <row r="34" spans="1:26">
      <c r="A34" s="3" t="s">
        <v>120</v>
      </c>
      <c r="B34" s="6">
        <f>'Staffing Plan'!C38</f>
        <v>35.510000000000005</v>
      </c>
      <c r="C34" s="3" t="s">
        <v>121</v>
      </c>
      <c r="D34" s="3" t="s">
        <v>99</v>
      </c>
      <c r="E34" s="3"/>
      <c r="F34" s="3"/>
      <c r="G34" s="3"/>
      <c r="H34" s="3"/>
      <c r="I34" s="5"/>
      <c r="J34" s="5"/>
      <c r="K34" s="5"/>
      <c r="L34" s="5"/>
      <c r="M34" s="5"/>
      <c r="N34" s="5"/>
      <c r="O34" s="5"/>
      <c r="P34" s="5"/>
      <c r="Q34" s="5"/>
      <c r="R34" s="5"/>
      <c r="S34" s="5"/>
      <c r="T34" s="5"/>
      <c r="U34" s="5"/>
      <c r="V34" s="5"/>
      <c r="W34" s="5"/>
      <c r="X34" s="5"/>
      <c r="Y34" s="5"/>
      <c r="Z34" s="5"/>
    </row>
    <row r="35" spans="1:26" ht="28.5">
      <c r="A35" s="3" t="s">
        <v>122</v>
      </c>
      <c r="B35" s="17">
        <f>B32/'Staffing Plan'!B19</f>
        <v>22.307692307692307</v>
      </c>
      <c r="C35" s="3" t="s">
        <v>1059</v>
      </c>
      <c r="D35" s="3" t="s">
        <v>17</v>
      </c>
      <c r="E35" s="3"/>
      <c r="F35" s="3"/>
      <c r="G35" s="3"/>
      <c r="H35" s="3"/>
      <c r="I35" s="5"/>
      <c r="J35" s="5"/>
      <c r="K35" s="5"/>
      <c r="L35" s="5"/>
      <c r="M35" s="5"/>
      <c r="N35" s="5"/>
      <c r="O35" s="5"/>
      <c r="P35" s="5"/>
      <c r="Q35" s="5"/>
      <c r="R35" s="5"/>
      <c r="S35" s="5"/>
      <c r="T35" s="5"/>
      <c r="U35" s="5"/>
      <c r="V35" s="5"/>
      <c r="W35" s="5"/>
      <c r="X35" s="5"/>
      <c r="Y35" s="5"/>
      <c r="Z35" s="5"/>
    </row>
    <row r="36" spans="1:26">
      <c r="A36" s="3" t="s">
        <v>123</v>
      </c>
      <c r="B36" s="14">
        <f>$B$13/B32</f>
        <v>15615.656809261271</v>
      </c>
      <c r="C36" s="3" t="s">
        <v>124</v>
      </c>
      <c r="D36" s="3" t="s">
        <v>17</v>
      </c>
      <c r="E36" s="3"/>
      <c r="F36" s="3"/>
      <c r="G36" s="3"/>
      <c r="H36" s="3"/>
      <c r="I36" s="5"/>
      <c r="J36" s="5"/>
      <c r="K36" s="5"/>
      <c r="L36" s="5"/>
      <c r="M36" s="5"/>
      <c r="N36" s="5"/>
      <c r="O36" s="5"/>
      <c r="P36" s="5"/>
      <c r="Q36" s="5"/>
      <c r="R36" s="5"/>
      <c r="S36" s="5"/>
      <c r="T36" s="5"/>
      <c r="U36" s="5"/>
      <c r="V36" s="5"/>
      <c r="W36" s="5"/>
      <c r="X36" s="5"/>
      <c r="Y36" s="5"/>
      <c r="Z36" s="5"/>
    </row>
    <row r="37" spans="1:26" ht="28.5">
      <c r="A37" s="3" t="s">
        <v>125</v>
      </c>
      <c r="B37" s="18">
        <f>SUM(B17:B19)/$B$13</f>
        <v>0.93464322556205892</v>
      </c>
      <c r="C37" s="3" t="s">
        <v>126</v>
      </c>
      <c r="D37" s="3" t="s">
        <v>17</v>
      </c>
      <c r="E37" s="3"/>
      <c r="F37" s="3"/>
      <c r="G37" s="3"/>
      <c r="H37" s="3"/>
      <c r="I37" s="5"/>
      <c r="J37" s="5"/>
      <c r="K37" s="5"/>
      <c r="L37" s="5"/>
      <c r="M37" s="5"/>
      <c r="N37" s="5"/>
      <c r="O37" s="5"/>
      <c r="P37" s="5"/>
      <c r="Q37" s="5"/>
      <c r="R37" s="5"/>
      <c r="S37" s="5"/>
      <c r="T37" s="5"/>
      <c r="U37" s="5"/>
      <c r="V37" s="5"/>
      <c r="W37" s="5"/>
      <c r="X37" s="5"/>
      <c r="Y37" s="5"/>
      <c r="Z37" s="5"/>
    </row>
    <row r="38" spans="1:26">
      <c r="A38" s="3" t="s">
        <v>1060</v>
      </c>
      <c r="B38" s="18">
        <f>B26/$B$13</f>
        <v>3.2577379885619707E-3</v>
      </c>
      <c r="C38" s="3" t="s">
        <v>127</v>
      </c>
      <c r="D38" s="3" t="s">
        <v>17</v>
      </c>
      <c r="E38" s="3"/>
      <c r="F38" s="3"/>
      <c r="G38" s="3"/>
      <c r="H38" s="3"/>
      <c r="I38" s="5"/>
      <c r="J38" s="5"/>
      <c r="K38" s="5"/>
      <c r="L38" s="5"/>
      <c r="M38" s="5"/>
      <c r="N38" s="5"/>
      <c r="O38" s="5"/>
      <c r="P38" s="5"/>
      <c r="Q38" s="5"/>
      <c r="R38" s="5"/>
      <c r="S38" s="5"/>
      <c r="T38" s="5"/>
      <c r="U38" s="5"/>
      <c r="V38" s="5"/>
      <c r="W38" s="5"/>
      <c r="X38" s="5"/>
      <c r="Y38" s="5"/>
      <c r="Z38" s="5"/>
    </row>
    <row r="39" spans="1:26" ht="33.950000000000003" customHeight="1">
      <c r="A39" s="146" t="s">
        <v>128</v>
      </c>
      <c r="B39" s="146"/>
      <c r="C39" s="146"/>
      <c r="D39" s="146"/>
      <c r="E39" s="146"/>
      <c r="F39" s="146"/>
      <c r="G39" s="146"/>
      <c r="H39" s="146"/>
      <c r="I39" s="5"/>
      <c r="J39" s="5"/>
      <c r="K39" s="5"/>
      <c r="L39" s="5"/>
      <c r="M39" s="5"/>
      <c r="N39" s="5"/>
      <c r="O39" s="5"/>
      <c r="P39" s="5"/>
      <c r="Q39" s="5"/>
      <c r="R39" s="5"/>
      <c r="S39" s="5"/>
      <c r="T39" s="5"/>
      <c r="U39" s="5"/>
      <c r="V39" s="5"/>
      <c r="W39" s="5"/>
      <c r="X39" s="5"/>
      <c r="Y39" s="5"/>
      <c r="Z39" s="5"/>
    </row>
    <row r="40" spans="1:26" ht="33.950000000000003" customHeight="1">
      <c r="A40" s="107" t="s">
        <v>129</v>
      </c>
      <c r="B40" s="107" t="s">
        <v>130</v>
      </c>
      <c r="C40" s="107" t="s">
        <v>131</v>
      </c>
      <c r="D40" s="107" t="s">
        <v>132</v>
      </c>
      <c r="E40" s="107" t="s">
        <v>63</v>
      </c>
      <c r="F40" s="107" t="s">
        <v>133</v>
      </c>
      <c r="G40" s="107" t="s">
        <v>66</v>
      </c>
      <c r="H40" s="107" t="s">
        <v>6</v>
      </c>
      <c r="I40" s="5"/>
      <c r="J40" s="5"/>
      <c r="K40" s="5"/>
      <c r="L40" s="5"/>
      <c r="M40" s="5"/>
      <c r="N40" s="5"/>
      <c r="O40" s="5"/>
      <c r="P40" s="5"/>
      <c r="Q40" s="5"/>
      <c r="R40" s="5"/>
      <c r="S40" s="5"/>
      <c r="T40" s="5"/>
      <c r="U40" s="5"/>
      <c r="V40" s="5"/>
      <c r="W40" s="5"/>
      <c r="X40" s="5"/>
      <c r="Y40" s="5"/>
      <c r="Z40" s="5"/>
    </row>
    <row r="41" spans="1:26" ht="33.950000000000003" customHeight="1">
      <c r="A41" s="3" t="s">
        <v>134</v>
      </c>
      <c r="B41" s="108">
        <v>0</v>
      </c>
      <c r="C41" s="3" t="s">
        <v>135</v>
      </c>
      <c r="D41" s="3" t="s">
        <v>136</v>
      </c>
      <c r="E41" s="3" t="s">
        <v>137</v>
      </c>
      <c r="F41" s="3" t="s">
        <v>138</v>
      </c>
      <c r="G41" s="3" t="s">
        <v>139</v>
      </c>
      <c r="H41" s="3" t="s">
        <v>140</v>
      </c>
      <c r="I41" s="5"/>
      <c r="J41" s="5"/>
      <c r="K41" s="5"/>
      <c r="L41" s="5"/>
      <c r="M41" s="5"/>
      <c r="N41" s="5"/>
      <c r="O41" s="5"/>
      <c r="P41" s="5"/>
      <c r="Q41" s="5"/>
      <c r="R41" s="5"/>
      <c r="S41" s="5"/>
      <c r="T41" s="5"/>
      <c r="U41" s="5"/>
      <c r="V41" s="5"/>
      <c r="W41" s="5"/>
      <c r="X41" s="5"/>
      <c r="Y41" s="5"/>
      <c r="Z41" s="5"/>
    </row>
    <row r="42" spans="1:26" ht="33.950000000000003" customHeight="1">
      <c r="A42" s="3" t="s">
        <v>141</v>
      </c>
      <c r="B42" s="108">
        <v>0</v>
      </c>
      <c r="C42" s="3" t="s">
        <v>142</v>
      </c>
      <c r="D42" s="3" t="s">
        <v>143</v>
      </c>
      <c r="E42" s="3" t="s">
        <v>140</v>
      </c>
      <c r="F42" s="3" t="s">
        <v>138</v>
      </c>
      <c r="G42" s="3" t="s">
        <v>144</v>
      </c>
      <c r="H42" s="3" t="s">
        <v>140</v>
      </c>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mergeCells count="6">
    <mergeCell ref="A39:H39"/>
    <mergeCell ref="A1:H1"/>
    <mergeCell ref="A2:H2"/>
    <mergeCell ref="A4:H4"/>
    <mergeCell ref="A15:H15"/>
    <mergeCell ref="A30:H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00"/>
  <sheetViews>
    <sheetView topLeftCell="A20" workbookViewId="0">
      <selection activeCell="E20" sqref="E20"/>
    </sheetView>
  </sheetViews>
  <sheetFormatPr defaultRowHeight="14.25"/>
  <cols>
    <col min="1" max="1" width="43.75" customWidth="1"/>
    <col min="2" max="2" width="8.625" customWidth="1"/>
    <col min="3" max="3" width="61" customWidth="1"/>
    <col min="4" max="4" width="19.375" customWidth="1"/>
    <col min="5" max="5" width="71.375" customWidth="1"/>
    <col min="6" max="6" width="25.5" customWidth="1"/>
    <col min="7" max="7" width="11.375" customWidth="1"/>
    <col min="8" max="8" width="13.25" customWidth="1"/>
    <col min="9" max="9" width="42.375" customWidth="1"/>
    <col min="10" max="10" width="9.625" customWidth="1"/>
  </cols>
  <sheetData>
    <row r="1" spans="1:26" ht="27.95" customHeight="1">
      <c r="A1" s="138" t="s">
        <v>145</v>
      </c>
      <c r="B1" s="138"/>
      <c r="C1" s="138"/>
      <c r="D1" s="138"/>
      <c r="E1" s="138"/>
      <c r="F1" s="138"/>
      <c r="G1" s="138"/>
      <c r="H1" s="138"/>
      <c r="I1" s="138"/>
      <c r="J1" s="138"/>
      <c r="K1" s="5"/>
      <c r="L1" s="5"/>
      <c r="M1" s="5"/>
      <c r="N1" s="5"/>
      <c r="O1" s="5"/>
      <c r="P1" s="5"/>
      <c r="Q1" s="5"/>
      <c r="R1" s="5"/>
      <c r="S1" s="5"/>
      <c r="T1" s="5"/>
      <c r="U1" s="5"/>
      <c r="V1" s="5"/>
      <c r="W1" s="5"/>
      <c r="X1" s="5"/>
      <c r="Y1" s="5"/>
      <c r="Z1" s="5"/>
    </row>
    <row r="2" spans="1:26" ht="32.1" customHeight="1">
      <c r="A2" s="139" t="s">
        <v>146</v>
      </c>
      <c r="B2" s="139"/>
      <c r="C2" s="139"/>
      <c r="D2" s="139"/>
      <c r="E2" s="139"/>
      <c r="F2" s="139"/>
      <c r="G2" s="139"/>
      <c r="H2" s="139"/>
      <c r="I2" s="139"/>
      <c r="J2" s="139"/>
      <c r="K2" s="5"/>
      <c r="L2" s="5"/>
      <c r="M2" s="5"/>
      <c r="N2" s="5"/>
      <c r="O2" s="5"/>
      <c r="P2" s="5"/>
      <c r="Q2" s="5"/>
      <c r="R2" s="5"/>
      <c r="S2" s="5"/>
      <c r="T2" s="5"/>
      <c r="U2" s="5"/>
      <c r="V2" s="5"/>
      <c r="W2" s="5"/>
      <c r="X2" s="5"/>
      <c r="Y2" s="5"/>
      <c r="Z2" s="5"/>
    </row>
    <row r="3" spans="1:26">
      <c r="A3" s="5"/>
      <c r="B3" s="5"/>
      <c r="C3" s="5"/>
      <c r="D3" s="5"/>
      <c r="E3" s="5"/>
      <c r="F3" s="5"/>
      <c r="G3" s="5"/>
      <c r="H3" s="5"/>
      <c r="I3" s="5"/>
      <c r="J3" s="5"/>
      <c r="K3" s="5"/>
      <c r="L3" s="5"/>
      <c r="M3" s="5"/>
      <c r="N3" s="5"/>
      <c r="O3" s="5"/>
      <c r="P3" s="5"/>
      <c r="Q3" s="5"/>
      <c r="R3" s="5"/>
      <c r="S3" s="5"/>
      <c r="T3" s="5"/>
      <c r="U3" s="5"/>
      <c r="V3" s="5"/>
      <c r="W3" s="5"/>
      <c r="X3" s="5"/>
      <c r="Y3" s="5"/>
      <c r="Z3" s="5"/>
    </row>
    <row r="4" spans="1:26" ht="21" customHeight="1">
      <c r="A4" s="140" t="s">
        <v>147</v>
      </c>
      <c r="B4" s="140"/>
      <c r="C4" s="140"/>
      <c r="D4" s="140"/>
      <c r="E4" s="140"/>
      <c r="F4" s="140"/>
      <c r="G4" s="140"/>
      <c r="H4" s="140"/>
      <c r="I4" s="140"/>
      <c r="J4" s="140"/>
      <c r="K4" s="5"/>
      <c r="L4" s="5"/>
      <c r="M4" s="5"/>
      <c r="N4" s="5"/>
      <c r="O4" s="5"/>
      <c r="P4" s="5"/>
      <c r="Q4" s="5"/>
      <c r="R4" s="5"/>
      <c r="S4" s="5"/>
      <c r="T4" s="5"/>
      <c r="U4" s="5"/>
      <c r="V4" s="5"/>
      <c r="W4" s="5"/>
      <c r="X4" s="5"/>
      <c r="Y4" s="5"/>
      <c r="Z4" s="5"/>
    </row>
    <row r="5" spans="1:26" ht="15">
      <c r="A5" s="2" t="s">
        <v>148</v>
      </c>
      <c r="B5" s="2" t="s">
        <v>4</v>
      </c>
      <c r="C5" s="2" t="s">
        <v>149</v>
      </c>
      <c r="D5" s="2" t="s">
        <v>150</v>
      </c>
      <c r="E5" s="2" t="s">
        <v>151</v>
      </c>
      <c r="F5" s="5"/>
      <c r="G5" s="5"/>
      <c r="H5" s="5"/>
      <c r="I5" s="5"/>
      <c r="J5" s="5"/>
      <c r="K5" s="5"/>
      <c r="L5" s="5"/>
      <c r="M5" s="5"/>
      <c r="N5" s="5"/>
      <c r="O5" s="5"/>
      <c r="P5" s="5"/>
      <c r="Q5" s="5"/>
      <c r="R5" s="5"/>
      <c r="S5" s="5"/>
      <c r="T5" s="5"/>
      <c r="U5" s="5"/>
      <c r="V5" s="5"/>
      <c r="W5" s="5"/>
      <c r="X5" s="5"/>
      <c r="Y5" s="5"/>
      <c r="Z5" s="5"/>
    </row>
    <row r="6" spans="1:26">
      <c r="A6" s="5" t="s">
        <v>152</v>
      </c>
      <c r="B6" s="8">
        <f>'KPEA FY28 Salary'!D16</f>
        <v>87307</v>
      </c>
      <c r="C6" s="5" t="s">
        <v>153</v>
      </c>
      <c r="D6" s="5" t="s">
        <v>154</v>
      </c>
      <c r="E6" s="5" t="s">
        <v>155</v>
      </c>
      <c r="F6" s="5"/>
      <c r="G6" s="5"/>
      <c r="H6" s="5"/>
      <c r="I6" s="5"/>
      <c r="J6" s="5"/>
      <c r="K6" s="5"/>
      <c r="L6" s="5"/>
      <c r="M6" s="5"/>
      <c r="N6" s="5"/>
      <c r="O6" s="5"/>
      <c r="P6" s="5"/>
      <c r="Q6" s="5"/>
      <c r="R6" s="5"/>
      <c r="S6" s="5"/>
      <c r="T6" s="5"/>
      <c r="U6" s="5"/>
      <c r="V6" s="5"/>
      <c r="W6" s="5"/>
      <c r="X6" s="5"/>
      <c r="Y6" s="5"/>
      <c r="Z6" s="5"/>
    </row>
    <row r="7" spans="1:26">
      <c r="A7" s="5" t="s">
        <v>156</v>
      </c>
      <c r="B7" s="8">
        <f>AVERAGE('Admin Salary Ref'!C6:P6)</f>
        <v>124909.5</v>
      </c>
      <c r="C7" s="5" t="s">
        <v>157</v>
      </c>
      <c r="D7" s="5" t="s">
        <v>158</v>
      </c>
      <c r="E7" s="5" t="s">
        <v>159</v>
      </c>
      <c r="F7" s="5"/>
      <c r="G7" s="5"/>
      <c r="H7" s="5"/>
      <c r="I7" s="5"/>
      <c r="J7" s="5"/>
      <c r="K7" s="5"/>
      <c r="L7" s="5"/>
      <c r="M7" s="5"/>
      <c r="N7" s="5"/>
      <c r="O7" s="5"/>
      <c r="P7" s="5"/>
      <c r="Q7" s="5"/>
      <c r="R7" s="5"/>
      <c r="S7" s="5"/>
      <c r="T7" s="5"/>
      <c r="U7" s="5"/>
      <c r="V7" s="5"/>
      <c r="W7" s="5"/>
      <c r="X7" s="5"/>
      <c r="Y7" s="5"/>
      <c r="Z7" s="5"/>
    </row>
    <row r="8" spans="1:26">
      <c r="A8" s="5" t="s">
        <v>160</v>
      </c>
      <c r="B8" s="19">
        <v>0.03</v>
      </c>
      <c r="C8" s="5" t="s">
        <v>161</v>
      </c>
      <c r="D8" s="5" t="s">
        <v>148</v>
      </c>
      <c r="E8" s="5" t="s">
        <v>162</v>
      </c>
      <c r="F8" s="5"/>
      <c r="G8" s="5"/>
      <c r="H8" s="5"/>
      <c r="I8" s="5"/>
      <c r="J8" s="5"/>
      <c r="K8" s="5"/>
      <c r="L8" s="5"/>
      <c r="M8" s="5"/>
      <c r="N8" s="5"/>
      <c r="O8" s="5"/>
      <c r="P8" s="5"/>
      <c r="Q8" s="5"/>
      <c r="R8" s="5"/>
      <c r="S8" s="5"/>
      <c r="T8" s="5"/>
      <c r="U8" s="5"/>
      <c r="V8" s="5"/>
      <c r="W8" s="5"/>
      <c r="X8" s="5"/>
      <c r="Y8" s="5"/>
      <c r="Z8" s="5"/>
    </row>
    <row r="9" spans="1:26">
      <c r="A9" s="5" t="s">
        <v>163</v>
      </c>
      <c r="B9" s="8">
        <f>B7*(1+B8)</f>
        <v>128656.785</v>
      </c>
      <c r="C9" s="5" t="s">
        <v>164</v>
      </c>
      <c r="D9" s="5" t="s">
        <v>165</v>
      </c>
      <c r="E9" s="5" t="s">
        <v>166</v>
      </c>
      <c r="F9" s="5"/>
      <c r="G9" s="5"/>
      <c r="H9" s="5"/>
      <c r="I9" s="5"/>
      <c r="J9" s="5"/>
      <c r="K9" s="5"/>
      <c r="L9" s="5"/>
      <c r="M9" s="5"/>
      <c r="N9" s="5"/>
      <c r="O9" s="5"/>
      <c r="P9" s="5"/>
      <c r="Q9" s="5"/>
      <c r="R9" s="5"/>
      <c r="S9" s="5"/>
      <c r="T9" s="5"/>
      <c r="U9" s="5"/>
      <c r="V9" s="5"/>
      <c r="W9" s="5"/>
      <c r="X9" s="5"/>
      <c r="Y9" s="5"/>
      <c r="Z9" s="5"/>
    </row>
    <row r="10" spans="1:26">
      <c r="A10" s="5" t="s">
        <v>167</v>
      </c>
      <c r="B10" s="8">
        <f>'FY26 Baseline'!H7/'FY26 Baseline'!G35</f>
        <v>43485.747482571649</v>
      </c>
      <c r="C10" s="5" t="s">
        <v>168</v>
      </c>
      <c r="D10" s="5" t="s">
        <v>169</v>
      </c>
      <c r="E10" s="5" t="s">
        <v>170</v>
      </c>
      <c r="F10" s="5"/>
      <c r="G10" s="5"/>
      <c r="H10" s="5"/>
      <c r="I10" s="5"/>
      <c r="J10" s="5"/>
      <c r="K10" s="5"/>
      <c r="L10" s="5"/>
      <c r="M10" s="5"/>
      <c r="N10" s="5"/>
      <c r="O10" s="5"/>
      <c r="P10" s="5"/>
      <c r="Q10" s="5"/>
      <c r="R10" s="5"/>
      <c r="S10" s="5"/>
      <c r="T10" s="5"/>
      <c r="U10" s="5"/>
      <c r="V10" s="5"/>
      <c r="W10" s="5"/>
      <c r="X10" s="5"/>
      <c r="Y10" s="5"/>
      <c r="Z10" s="5"/>
    </row>
    <row r="11" spans="1:26">
      <c r="A11" s="5" t="s">
        <v>171</v>
      </c>
      <c r="B11" s="20">
        <v>3</v>
      </c>
      <c r="C11" s="5" t="s">
        <v>172</v>
      </c>
      <c r="D11" s="5" t="s">
        <v>173</v>
      </c>
      <c r="E11" s="5" t="s">
        <v>174</v>
      </c>
      <c r="F11" s="5"/>
      <c r="G11" s="5"/>
      <c r="H11" s="5"/>
      <c r="I11" s="5"/>
      <c r="J11" s="5"/>
      <c r="K11" s="5"/>
      <c r="L11" s="5"/>
      <c r="M11" s="5"/>
      <c r="N11" s="5"/>
      <c r="O11" s="5"/>
      <c r="P11" s="5"/>
      <c r="Q11" s="5"/>
      <c r="R11" s="5"/>
      <c r="S11" s="5"/>
      <c r="T11" s="5"/>
      <c r="U11" s="5"/>
      <c r="V11" s="5"/>
      <c r="W11" s="5"/>
      <c r="X11" s="5"/>
      <c r="Y11" s="5"/>
      <c r="Z11" s="5"/>
    </row>
    <row r="12" spans="1:26">
      <c r="A12" s="5" t="s">
        <v>175</v>
      </c>
      <c r="B12" s="21">
        <v>1600</v>
      </c>
      <c r="C12" s="5" t="s">
        <v>176</v>
      </c>
      <c r="D12" s="5" t="s">
        <v>148</v>
      </c>
      <c r="E12" s="5" t="s">
        <v>177</v>
      </c>
      <c r="F12" s="5"/>
      <c r="G12" s="5"/>
      <c r="H12" s="5"/>
      <c r="I12" s="5"/>
      <c r="J12" s="5"/>
      <c r="K12" s="5"/>
      <c r="L12" s="5"/>
      <c r="M12" s="5"/>
      <c r="N12" s="5"/>
      <c r="O12" s="5"/>
      <c r="P12" s="5"/>
      <c r="Q12" s="5"/>
      <c r="R12" s="5"/>
      <c r="S12" s="5"/>
      <c r="T12" s="5"/>
      <c r="U12" s="5"/>
      <c r="V12" s="5"/>
      <c r="W12" s="5"/>
      <c r="X12" s="5"/>
      <c r="Y12" s="5"/>
      <c r="Z12" s="5"/>
    </row>
    <row r="13" spans="1:26">
      <c r="A13" s="5" t="s">
        <v>178</v>
      </c>
      <c r="B13" s="8">
        <f>B10+B11*B12</f>
        <v>48285.747482571649</v>
      </c>
      <c r="C13" s="5" t="s">
        <v>179</v>
      </c>
      <c r="D13" s="5" t="s">
        <v>180</v>
      </c>
      <c r="E13" s="5" t="s">
        <v>181</v>
      </c>
      <c r="F13" s="5"/>
      <c r="G13" s="5"/>
      <c r="H13" s="5"/>
      <c r="I13" s="5"/>
      <c r="J13" s="5"/>
      <c r="K13" s="5"/>
      <c r="L13" s="5"/>
      <c r="M13" s="5"/>
      <c r="N13" s="5"/>
      <c r="O13" s="5"/>
      <c r="P13" s="5"/>
      <c r="Q13" s="5"/>
      <c r="R13" s="5"/>
      <c r="S13" s="5"/>
      <c r="T13" s="5"/>
      <c r="U13" s="5"/>
      <c r="V13" s="5"/>
      <c r="W13" s="5"/>
      <c r="X13" s="5"/>
      <c r="Y13" s="5"/>
      <c r="Z13" s="5"/>
    </row>
    <row r="14" spans="1:26">
      <c r="A14" s="5" t="s">
        <v>182</v>
      </c>
      <c r="B14" s="22">
        <f>'FY26 Baseline'!H8/('FY26 Baseline'!H6+'FY26 Baseline'!H7)</f>
        <v>0.60692566946769022</v>
      </c>
      <c r="C14" s="5" t="s">
        <v>183</v>
      </c>
      <c r="D14" s="5" t="s">
        <v>184</v>
      </c>
      <c r="E14" s="5" t="s">
        <v>185</v>
      </c>
      <c r="F14" s="5"/>
      <c r="G14" s="5"/>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ht="21" customHeight="1">
      <c r="A16" s="140" t="s">
        <v>186</v>
      </c>
      <c r="B16" s="140"/>
      <c r="C16" s="140"/>
      <c r="D16" s="140"/>
      <c r="E16" s="140"/>
      <c r="F16" s="140"/>
      <c r="G16" s="140"/>
      <c r="H16" s="140"/>
      <c r="I16" s="140"/>
      <c r="J16" s="140"/>
      <c r="K16" s="5"/>
      <c r="L16" s="5"/>
      <c r="M16" s="5"/>
      <c r="N16" s="5"/>
      <c r="O16" s="5"/>
      <c r="P16" s="5"/>
      <c r="Q16" s="5"/>
      <c r="R16" s="5"/>
      <c r="S16" s="5"/>
      <c r="T16" s="5"/>
      <c r="U16" s="5"/>
      <c r="V16" s="5"/>
      <c r="W16" s="5"/>
      <c r="X16" s="5"/>
      <c r="Y16" s="5"/>
      <c r="Z16" s="5"/>
    </row>
    <row r="17" spans="1:26" ht="15">
      <c r="A17" s="2" t="s">
        <v>187</v>
      </c>
      <c r="B17" s="2" t="s">
        <v>188</v>
      </c>
      <c r="C17" s="2" t="s">
        <v>189</v>
      </c>
      <c r="D17" s="2" t="s">
        <v>190</v>
      </c>
      <c r="E17" s="2" t="s">
        <v>191</v>
      </c>
      <c r="F17" s="2" t="s">
        <v>192</v>
      </c>
      <c r="G17" s="2" t="s">
        <v>193</v>
      </c>
      <c r="H17" s="2" t="s">
        <v>194</v>
      </c>
      <c r="I17" s="2" t="s">
        <v>195</v>
      </c>
      <c r="J17" s="2" t="s">
        <v>63</v>
      </c>
      <c r="K17" s="5"/>
      <c r="L17" s="5"/>
      <c r="M17" s="5"/>
      <c r="N17" s="5"/>
      <c r="O17" s="5"/>
      <c r="P17" s="5"/>
      <c r="Q17" s="5"/>
      <c r="R17" s="5"/>
      <c r="S17" s="5"/>
      <c r="T17" s="5"/>
      <c r="U17" s="5"/>
      <c r="V17" s="5"/>
      <c r="W17" s="5"/>
      <c r="X17" s="5"/>
      <c r="Y17" s="5"/>
      <c r="Z17" s="5"/>
    </row>
    <row r="18" spans="1:26" ht="28.5">
      <c r="A18" s="3" t="s">
        <v>196</v>
      </c>
      <c r="B18" s="23">
        <v>1</v>
      </c>
      <c r="C18" s="7">
        <f>$B$9</f>
        <v>128656.785</v>
      </c>
      <c r="D18" s="14">
        <f>B18*C18</f>
        <v>128656.785</v>
      </c>
      <c r="E18" s="3" t="s">
        <v>197</v>
      </c>
      <c r="F18" s="3" t="s">
        <v>163</v>
      </c>
      <c r="G18" s="3" t="s">
        <v>119</v>
      </c>
      <c r="H18" s="3" t="s">
        <v>198</v>
      </c>
      <c r="I18" s="3" t="s">
        <v>199</v>
      </c>
      <c r="J18" s="3" t="s">
        <v>200</v>
      </c>
      <c r="K18" s="5"/>
      <c r="L18" s="5"/>
      <c r="M18" s="5"/>
      <c r="N18" s="5"/>
      <c r="O18" s="5"/>
      <c r="P18" s="5"/>
      <c r="Q18" s="5"/>
      <c r="R18" s="5"/>
      <c r="S18" s="5"/>
      <c r="T18" s="5"/>
      <c r="U18" s="5"/>
      <c r="V18" s="5"/>
      <c r="W18" s="5"/>
      <c r="X18" s="5"/>
      <c r="Y18" s="5"/>
      <c r="Z18" s="5"/>
    </row>
    <row r="19" spans="1:26" ht="28.5">
      <c r="A19" s="3" t="s">
        <v>201</v>
      </c>
      <c r="B19" s="37">
        <v>13</v>
      </c>
      <c r="C19" s="7">
        <f>$B$6</f>
        <v>87307</v>
      </c>
      <c r="D19" s="14">
        <f>B19*C19</f>
        <v>1134991</v>
      </c>
      <c r="E19" s="3" t="s">
        <v>1061</v>
      </c>
      <c r="F19" s="3" t="s">
        <v>204</v>
      </c>
      <c r="G19" s="3" t="s">
        <v>1062</v>
      </c>
      <c r="H19" s="3" t="s">
        <v>154</v>
      </c>
      <c r="I19" s="3" t="s">
        <v>1063</v>
      </c>
      <c r="J19" s="3" t="s">
        <v>1064</v>
      </c>
      <c r="K19" s="5"/>
      <c r="L19" s="5"/>
      <c r="M19" s="5"/>
      <c r="N19" s="5"/>
      <c r="O19" s="5"/>
      <c r="P19" s="5"/>
      <c r="Q19" s="5"/>
      <c r="R19" s="5"/>
      <c r="S19" s="5"/>
      <c r="T19" s="5"/>
      <c r="U19" s="5"/>
      <c r="V19" s="5"/>
      <c r="W19" s="5"/>
      <c r="X19" s="5"/>
      <c r="Y19" s="5"/>
      <c r="Z19" s="5"/>
    </row>
    <row r="20" spans="1:26" ht="40.5" customHeight="1">
      <c r="A20" s="3" t="s">
        <v>1065</v>
      </c>
      <c r="B20" s="37">
        <v>3</v>
      </c>
      <c r="C20" s="7">
        <f>$B$6</f>
        <v>87307</v>
      </c>
      <c r="D20" s="14">
        <f>B20*C20</f>
        <v>261921</v>
      </c>
      <c r="E20" s="3" t="s">
        <v>1066</v>
      </c>
      <c r="F20" s="3" t="s">
        <v>204</v>
      </c>
      <c r="G20" s="3" t="s">
        <v>1067</v>
      </c>
      <c r="H20" s="3" t="s">
        <v>154</v>
      </c>
      <c r="I20" s="3" t="s">
        <v>1068</v>
      </c>
      <c r="J20" s="3" t="s">
        <v>1069</v>
      </c>
      <c r="K20" s="5"/>
      <c r="L20" s="5"/>
      <c r="M20" s="5"/>
      <c r="N20" s="5"/>
      <c r="O20" s="5"/>
      <c r="P20" s="5"/>
      <c r="Q20" s="5"/>
      <c r="R20" s="5"/>
      <c r="S20" s="5"/>
      <c r="T20" s="5"/>
      <c r="U20" s="5"/>
      <c r="V20" s="5"/>
      <c r="W20" s="5"/>
      <c r="X20" s="5"/>
      <c r="Y20" s="5"/>
      <c r="Z20" s="5"/>
    </row>
    <row r="21" spans="1:26">
      <c r="A21" s="3" t="s">
        <v>202</v>
      </c>
      <c r="B21" s="37">
        <v>0.5</v>
      </c>
      <c r="C21" s="7">
        <f>$B$6</f>
        <v>87307</v>
      </c>
      <c r="D21" s="14">
        <f>B21*C21</f>
        <v>43653.5</v>
      </c>
      <c r="E21" s="3" t="s">
        <v>203</v>
      </c>
      <c r="F21" s="3" t="s">
        <v>204</v>
      </c>
      <c r="G21" s="3" t="s">
        <v>205</v>
      </c>
      <c r="H21" s="3" t="s">
        <v>154</v>
      </c>
      <c r="I21" s="3" t="s">
        <v>206</v>
      </c>
      <c r="J21" s="3" t="s">
        <v>207</v>
      </c>
      <c r="K21" s="5"/>
      <c r="L21" s="5"/>
      <c r="M21" s="5"/>
      <c r="N21" s="5"/>
      <c r="O21" s="5"/>
      <c r="P21" s="5"/>
      <c r="Q21" s="5"/>
      <c r="R21" s="5"/>
      <c r="S21" s="5"/>
      <c r="T21" s="5"/>
      <c r="U21" s="5"/>
      <c r="V21" s="5"/>
      <c r="W21" s="5"/>
      <c r="X21" s="5"/>
      <c r="Y21" s="5"/>
      <c r="Z21" s="5"/>
    </row>
    <row r="22" spans="1:26" ht="42.75">
      <c r="A22" s="3" t="s">
        <v>1070</v>
      </c>
      <c r="B22" s="37">
        <v>5</v>
      </c>
      <c r="C22" s="7">
        <f>$B$6</f>
        <v>87307</v>
      </c>
      <c r="D22" s="14">
        <f>B22*C22</f>
        <v>436535</v>
      </c>
      <c r="E22" s="3" t="s">
        <v>1071</v>
      </c>
      <c r="F22" s="3" t="s">
        <v>204</v>
      </c>
      <c r="G22" s="3" t="s">
        <v>1072</v>
      </c>
      <c r="H22" s="3" t="s">
        <v>154</v>
      </c>
      <c r="I22" s="3" t="s">
        <v>1073</v>
      </c>
      <c r="J22" s="3" t="s">
        <v>1074</v>
      </c>
      <c r="K22" s="5"/>
      <c r="L22" s="5"/>
      <c r="M22" s="5"/>
      <c r="N22" s="5"/>
      <c r="O22" s="5"/>
      <c r="P22" s="5"/>
      <c r="Q22" s="5"/>
      <c r="R22" s="5"/>
      <c r="S22" s="5"/>
      <c r="T22" s="5"/>
      <c r="U22" s="5"/>
      <c r="V22" s="5"/>
      <c r="W22" s="5"/>
      <c r="X22" s="5"/>
      <c r="Y22" s="5"/>
      <c r="Z22" s="5"/>
    </row>
    <row r="23" spans="1:26" ht="15">
      <c r="A23" s="24" t="s">
        <v>208</v>
      </c>
      <c r="B23" s="25">
        <f>SUM(B18:B22)</f>
        <v>22.5</v>
      </c>
      <c r="C23" s="24"/>
      <c r="D23" s="26">
        <f>SUM(D18:D22)</f>
        <v>2005757.2849999999</v>
      </c>
      <c r="E23" s="24"/>
      <c r="F23" s="24"/>
      <c r="G23" s="24"/>
      <c r="H23" s="24"/>
      <c r="I23" s="24"/>
      <c r="J23" s="24"/>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21" customHeight="1">
      <c r="A25" s="140" t="s">
        <v>209</v>
      </c>
      <c r="B25" s="140"/>
      <c r="C25" s="140"/>
      <c r="D25" s="140"/>
      <c r="E25" s="140"/>
      <c r="F25" s="140"/>
      <c r="G25" s="140"/>
      <c r="H25" s="140"/>
      <c r="I25" s="140"/>
      <c r="J25" s="140"/>
      <c r="K25" s="5"/>
      <c r="L25" s="5"/>
      <c r="M25" s="5"/>
      <c r="N25" s="5"/>
      <c r="O25" s="5"/>
      <c r="P25" s="5"/>
      <c r="Q25" s="5"/>
      <c r="R25" s="5"/>
      <c r="S25" s="5"/>
      <c r="T25" s="5"/>
      <c r="U25" s="5"/>
      <c r="V25" s="5"/>
      <c r="W25" s="5"/>
      <c r="X25" s="5"/>
      <c r="Y25" s="5"/>
      <c r="Z25" s="5"/>
    </row>
    <row r="26" spans="1:26" ht="15">
      <c r="A26" s="2" t="s">
        <v>187</v>
      </c>
      <c r="B26" s="2" t="s">
        <v>188</v>
      </c>
      <c r="C26" s="2" t="s">
        <v>210</v>
      </c>
      <c r="D26" s="2" t="s">
        <v>190</v>
      </c>
      <c r="E26" s="2" t="s">
        <v>191</v>
      </c>
      <c r="F26" s="2" t="s">
        <v>211</v>
      </c>
      <c r="G26" s="2" t="s">
        <v>193</v>
      </c>
      <c r="H26" s="2" t="s">
        <v>194</v>
      </c>
      <c r="I26" s="2" t="s">
        <v>195</v>
      </c>
      <c r="J26" s="2" t="s">
        <v>63</v>
      </c>
      <c r="K26" s="5"/>
      <c r="L26" s="5"/>
      <c r="M26" s="5"/>
      <c r="N26" s="5"/>
      <c r="O26" s="5"/>
      <c r="P26" s="5"/>
      <c r="Q26" s="5"/>
      <c r="R26" s="5"/>
      <c r="S26" s="5"/>
      <c r="T26" s="5"/>
      <c r="U26" s="5"/>
      <c r="V26" s="5"/>
      <c r="W26" s="5"/>
      <c r="X26" s="5"/>
      <c r="Y26" s="5"/>
      <c r="Z26" s="5"/>
    </row>
    <row r="27" spans="1:26">
      <c r="A27" s="3" t="s">
        <v>212</v>
      </c>
      <c r="B27" s="23">
        <v>7.33</v>
      </c>
      <c r="C27" s="7">
        <f>$B$13</f>
        <v>48285.747482571649</v>
      </c>
      <c r="D27" s="27">
        <f>B27*C27</f>
        <v>353934.52904725017</v>
      </c>
      <c r="E27" s="3" t="s">
        <v>213</v>
      </c>
      <c r="F27" s="3" t="s">
        <v>214</v>
      </c>
      <c r="G27" s="3" t="s">
        <v>119</v>
      </c>
      <c r="H27" s="3" t="s">
        <v>215</v>
      </c>
      <c r="I27" s="3" t="s">
        <v>216</v>
      </c>
      <c r="J27" s="3" t="s">
        <v>217</v>
      </c>
      <c r="K27" s="5"/>
      <c r="L27" s="5"/>
      <c r="M27" s="5"/>
      <c r="N27" s="5"/>
      <c r="O27" s="5"/>
      <c r="P27" s="5"/>
      <c r="Q27" s="5"/>
      <c r="R27" s="5"/>
      <c r="S27" s="5"/>
      <c r="T27" s="5"/>
      <c r="U27" s="5"/>
      <c r="V27" s="5"/>
      <c r="W27" s="5"/>
      <c r="X27" s="5"/>
      <c r="Y27" s="5"/>
      <c r="Z27" s="5"/>
    </row>
    <row r="28" spans="1:26" ht="28.5">
      <c r="A28" s="3" t="s">
        <v>218</v>
      </c>
      <c r="B28" s="23">
        <v>0.44</v>
      </c>
      <c r="C28" s="7">
        <f>$B$13</f>
        <v>48285.747482571649</v>
      </c>
      <c r="D28" s="27">
        <f>B28*C28</f>
        <v>21245.728892331525</v>
      </c>
      <c r="E28" s="3" t="s">
        <v>219</v>
      </c>
      <c r="F28" s="3" t="s">
        <v>214</v>
      </c>
      <c r="G28" s="3" t="s">
        <v>220</v>
      </c>
      <c r="H28" s="3" t="s">
        <v>215</v>
      </c>
      <c r="I28" s="3" t="s">
        <v>221</v>
      </c>
      <c r="J28" s="3" t="s">
        <v>222</v>
      </c>
      <c r="K28" s="5"/>
      <c r="L28" s="5"/>
      <c r="M28" s="5"/>
      <c r="N28" s="5"/>
      <c r="O28" s="5"/>
      <c r="P28" s="5"/>
      <c r="Q28" s="5"/>
      <c r="R28" s="5"/>
      <c r="S28" s="5"/>
      <c r="T28" s="5"/>
      <c r="U28" s="5"/>
      <c r="V28" s="5"/>
      <c r="W28" s="5"/>
      <c r="X28" s="5"/>
      <c r="Y28" s="5"/>
      <c r="Z28" s="5"/>
    </row>
    <row r="29" spans="1:26" ht="28.5">
      <c r="A29" s="3" t="s">
        <v>223</v>
      </c>
      <c r="B29" s="23">
        <v>0.69</v>
      </c>
      <c r="C29" s="7">
        <f>$B$13</f>
        <v>48285.747482571649</v>
      </c>
      <c r="D29" s="27">
        <f>B29*C29</f>
        <v>33317.165762974437</v>
      </c>
      <c r="E29" s="3" t="s">
        <v>224</v>
      </c>
      <c r="F29" s="3" t="s">
        <v>214</v>
      </c>
      <c r="G29" s="3" t="s">
        <v>119</v>
      </c>
      <c r="H29" s="3" t="s">
        <v>225</v>
      </c>
      <c r="I29" s="3" t="s">
        <v>226</v>
      </c>
      <c r="J29" s="3" t="s">
        <v>217</v>
      </c>
      <c r="K29" s="5"/>
      <c r="L29" s="5"/>
      <c r="M29" s="5"/>
      <c r="N29" s="5"/>
      <c r="O29" s="5"/>
      <c r="P29" s="5"/>
      <c r="Q29" s="5"/>
      <c r="R29" s="5"/>
      <c r="S29" s="5"/>
      <c r="T29" s="5"/>
      <c r="U29" s="5"/>
      <c r="V29" s="5"/>
      <c r="W29" s="5"/>
      <c r="X29" s="5"/>
      <c r="Y29" s="5"/>
      <c r="Z29" s="5"/>
    </row>
    <row r="30" spans="1:26">
      <c r="A30" s="3" t="s">
        <v>227</v>
      </c>
      <c r="B30" s="23">
        <v>1.05</v>
      </c>
      <c r="C30" s="7">
        <f>$B$13</f>
        <v>48285.747482571649</v>
      </c>
      <c r="D30" s="27">
        <f>B30*C30</f>
        <v>50700.034856700237</v>
      </c>
      <c r="E30" s="3" t="s">
        <v>228</v>
      </c>
      <c r="F30" s="3" t="s">
        <v>214</v>
      </c>
      <c r="G30" s="3" t="s">
        <v>220</v>
      </c>
      <c r="H30" s="3" t="s">
        <v>229</v>
      </c>
      <c r="I30" s="3" t="s">
        <v>230</v>
      </c>
      <c r="J30" s="3" t="s">
        <v>222</v>
      </c>
      <c r="K30" s="5"/>
      <c r="L30" s="5"/>
      <c r="M30" s="5"/>
      <c r="N30" s="5"/>
      <c r="O30" s="5"/>
      <c r="P30" s="5"/>
      <c r="Q30" s="5"/>
      <c r="R30" s="5"/>
      <c r="S30" s="5"/>
      <c r="T30" s="5"/>
      <c r="U30" s="5"/>
      <c r="V30" s="5"/>
      <c r="W30" s="5"/>
      <c r="X30" s="5"/>
      <c r="Y30" s="5"/>
      <c r="Z30" s="5"/>
    </row>
    <row r="31" spans="1:26">
      <c r="A31" s="3" t="s">
        <v>231</v>
      </c>
      <c r="B31" s="23">
        <v>3.5</v>
      </c>
      <c r="C31" s="7">
        <f>$B$13</f>
        <v>48285.747482571649</v>
      </c>
      <c r="D31" s="27">
        <f>B31*C31</f>
        <v>169000.11618900078</v>
      </c>
      <c r="E31" s="3" t="s">
        <v>213</v>
      </c>
      <c r="F31" s="3" t="s">
        <v>214</v>
      </c>
      <c r="G31" s="3" t="s">
        <v>119</v>
      </c>
      <c r="H31" s="3" t="s">
        <v>215</v>
      </c>
      <c r="I31" s="3" t="s">
        <v>232</v>
      </c>
      <c r="J31" s="3" t="s">
        <v>217</v>
      </c>
      <c r="K31" s="5"/>
      <c r="L31" s="5"/>
      <c r="M31" s="5"/>
      <c r="N31" s="5"/>
      <c r="O31" s="5"/>
      <c r="P31" s="5"/>
      <c r="Q31" s="5"/>
      <c r="R31" s="5"/>
      <c r="S31" s="5"/>
      <c r="T31" s="5"/>
      <c r="U31" s="5"/>
      <c r="V31" s="5"/>
      <c r="W31" s="5"/>
      <c r="X31" s="5"/>
      <c r="Y31" s="5"/>
      <c r="Z31" s="5"/>
    </row>
    <row r="32" spans="1:26" ht="15">
      <c r="A32" s="24" t="s">
        <v>233</v>
      </c>
      <c r="B32" s="25">
        <f>SUM(B27:B31)</f>
        <v>13.010000000000002</v>
      </c>
      <c r="C32" s="24"/>
      <c r="D32" s="26">
        <f>SUM(D27:D31)</f>
        <v>628197.57474825718</v>
      </c>
      <c r="E32" s="24"/>
      <c r="F32" s="24"/>
      <c r="G32" s="24"/>
      <c r="H32" s="24"/>
      <c r="I32" s="24"/>
      <c r="J32" s="24"/>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21" customHeight="1">
      <c r="A34" s="140" t="s">
        <v>234</v>
      </c>
      <c r="B34" s="140"/>
      <c r="C34" s="140"/>
      <c r="D34" s="140"/>
      <c r="E34" s="140"/>
      <c r="F34" s="140"/>
      <c r="G34" s="140"/>
      <c r="H34" s="140"/>
      <c r="I34" s="140"/>
      <c r="J34" s="140"/>
      <c r="K34" s="5"/>
      <c r="L34" s="5"/>
      <c r="M34" s="5"/>
      <c r="N34" s="5"/>
      <c r="O34" s="5"/>
      <c r="P34" s="5"/>
      <c r="Q34" s="5"/>
      <c r="R34" s="5"/>
      <c r="S34" s="5"/>
      <c r="T34" s="5"/>
      <c r="U34" s="5"/>
      <c r="V34" s="5"/>
      <c r="W34" s="5"/>
      <c r="X34" s="5"/>
      <c r="Y34" s="5"/>
      <c r="Z34" s="5"/>
    </row>
    <row r="35" spans="1:26" ht="30">
      <c r="A35" s="2" t="s">
        <v>3</v>
      </c>
      <c r="B35" s="2" t="s">
        <v>52</v>
      </c>
      <c r="C35" s="2" t="s">
        <v>53</v>
      </c>
      <c r="D35" s="2" t="s">
        <v>54</v>
      </c>
      <c r="E35" s="5"/>
      <c r="F35" s="5"/>
      <c r="G35" s="5"/>
      <c r="H35" s="5"/>
      <c r="I35" s="5"/>
      <c r="J35" s="5"/>
      <c r="K35" s="5"/>
      <c r="L35" s="5"/>
      <c r="M35" s="5"/>
      <c r="N35" s="5"/>
      <c r="O35" s="5"/>
      <c r="P35" s="5"/>
      <c r="Q35" s="5"/>
      <c r="R35" s="5"/>
      <c r="S35" s="5"/>
      <c r="T35" s="5"/>
      <c r="U35" s="5"/>
      <c r="V35" s="5"/>
      <c r="W35" s="5"/>
      <c r="X35" s="5"/>
      <c r="Y35" s="5"/>
      <c r="Z35" s="5"/>
    </row>
    <row r="36" spans="1:26">
      <c r="A36" s="5" t="s">
        <v>55</v>
      </c>
      <c r="B36" s="10">
        <f>'FY26 Baseline'!G29</f>
        <v>22.05</v>
      </c>
      <c r="C36" s="9">
        <f>B23</f>
        <v>22.5</v>
      </c>
      <c r="D36" s="9">
        <f>C36-B36</f>
        <v>0.44999999999999929</v>
      </c>
      <c r="E36" s="5"/>
      <c r="F36" s="5"/>
      <c r="G36" s="5"/>
      <c r="H36" s="5"/>
      <c r="I36" s="5"/>
      <c r="J36" s="5"/>
      <c r="K36" s="5"/>
      <c r="L36" s="5"/>
      <c r="M36" s="5"/>
      <c r="N36" s="5"/>
      <c r="O36" s="5"/>
      <c r="P36" s="5"/>
      <c r="Q36" s="5"/>
      <c r="R36" s="5"/>
      <c r="S36" s="5"/>
      <c r="T36" s="5"/>
      <c r="U36" s="5"/>
      <c r="V36" s="5"/>
      <c r="W36" s="5"/>
      <c r="X36" s="5"/>
      <c r="Y36" s="5"/>
      <c r="Z36" s="5"/>
    </row>
    <row r="37" spans="1:26">
      <c r="A37" s="5" t="s">
        <v>56</v>
      </c>
      <c r="B37" s="10">
        <f>'FY26 Baseline'!G35</f>
        <v>12.91</v>
      </c>
      <c r="C37" s="9">
        <f>B32</f>
        <v>13.010000000000002</v>
      </c>
      <c r="D37" s="9">
        <f>C37-B37</f>
        <v>0.10000000000000142</v>
      </c>
      <c r="E37" s="5"/>
      <c r="F37" s="5"/>
      <c r="G37" s="5"/>
      <c r="H37" s="5"/>
      <c r="I37" s="5"/>
      <c r="J37" s="5"/>
      <c r="K37" s="5"/>
      <c r="L37" s="5"/>
      <c r="M37" s="5"/>
      <c r="N37" s="5"/>
      <c r="O37" s="5"/>
      <c r="P37" s="5"/>
      <c r="Q37" s="5"/>
      <c r="R37" s="5"/>
      <c r="S37" s="5"/>
      <c r="T37" s="5"/>
      <c r="U37" s="5"/>
      <c r="V37" s="5"/>
      <c r="W37" s="5"/>
      <c r="X37" s="5"/>
      <c r="Y37" s="5"/>
      <c r="Z37" s="5"/>
    </row>
    <row r="38" spans="1:26" ht="15">
      <c r="A38" s="28" t="s">
        <v>57</v>
      </c>
      <c r="B38" s="29">
        <f>'FY26 Baseline'!G36</f>
        <v>34.96</v>
      </c>
      <c r="C38" s="30">
        <f>C36+C37</f>
        <v>35.510000000000005</v>
      </c>
      <c r="D38" s="30">
        <f>C38-B38</f>
        <v>0.55000000000000426</v>
      </c>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mergeCells count="6">
    <mergeCell ref="A34:J34"/>
    <mergeCell ref="A1:J1"/>
    <mergeCell ref="A2:J2"/>
    <mergeCell ref="A4:J4"/>
    <mergeCell ref="A16:J16"/>
    <mergeCell ref="A25:J2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200"/>
  <sheetViews>
    <sheetView workbookViewId="0">
      <selection activeCell="J13" sqref="A13:J16"/>
    </sheetView>
  </sheetViews>
  <sheetFormatPr defaultRowHeight="14.25"/>
  <cols>
    <col min="1" max="1" width="30" customWidth="1"/>
    <col min="2" max="7" width="13" customWidth="1"/>
    <col min="8" max="8" width="18" customWidth="1"/>
    <col min="9" max="9" width="14" customWidth="1"/>
    <col min="10" max="10" width="46" customWidth="1"/>
  </cols>
  <sheetData>
    <row r="1" spans="1:26" ht="27.95" customHeight="1">
      <c r="A1" s="138" t="s">
        <v>235</v>
      </c>
      <c r="B1" s="138"/>
      <c r="C1" s="138"/>
      <c r="D1" s="138"/>
      <c r="E1" s="138"/>
      <c r="F1" s="138"/>
      <c r="G1" s="138"/>
      <c r="H1" s="138"/>
      <c r="I1" s="138"/>
      <c r="J1" s="138"/>
      <c r="K1" s="5"/>
      <c r="L1" s="5"/>
      <c r="M1" s="5"/>
      <c r="N1" s="5"/>
      <c r="O1" s="5"/>
      <c r="P1" s="5"/>
      <c r="Q1" s="5"/>
      <c r="R1" s="5"/>
      <c r="S1" s="5"/>
      <c r="T1" s="5"/>
      <c r="U1" s="5"/>
      <c r="V1" s="5"/>
      <c r="W1" s="5"/>
      <c r="X1" s="5"/>
      <c r="Y1" s="5"/>
      <c r="Z1" s="5"/>
    </row>
    <row r="2" spans="1:26" ht="32.1" customHeight="1">
      <c r="A2" s="139" t="s">
        <v>236</v>
      </c>
      <c r="B2" s="139"/>
      <c r="C2" s="139"/>
      <c r="D2" s="139"/>
      <c r="E2" s="139"/>
      <c r="F2" s="139"/>
      <c r="G2" s="139"/>
      <c r="H2" s="139"/>
      <c r="I2" s="139"/>
      <c r="J2" s="139"/>
      <c r="K2" s="5"/>
      <c r="L2" s="5"/>
      <c r="M2" s="5"/>
      <c r="N2" s="5"/>
      <c r="O2" s="5"/>
      <c r="P2" s="5"/>
      <c r="Q2" s="5"/>
      <c r="R2" s="5"/>
      <c r="S2" s="5"/>
      <c r="T2" s="5"/>
      <c r="U2" s="5"/>
      <c r="V2" s="5"/>
      <c r="W2" s="5"/>
      <c r="X2" s="5"/>
      <c r="Y2" s="5"/>
      <c r="Z2" s="5"/>
    </row>
    <row r="3" spans="1:26">
      <c r="A3" s="5"/>
      <c r="B3" s="5"/>
      <c r="C3" s="5"/>
      <c r="D3" s="5"/>
      <c r="E3" s="5"/>
      <c r="F3" s="5"/>
      <c r="G3" s="5"/>
      <c r="H3" s="5"/>
      <c r="I3" s="5"/>
      <c r="J3" s="5"/>
      <c r="K3" s="5"/>
      <c r="L3" s="5"/>
      <c r="M3" s="5"/>
      <c r="N3" s="5"/>
      <c r="O3" s="5"/>
      <c r="P3" s="5"/>
      <c r="Q3" s="5"/>
      <c r="R3" s="5"/>
      <c r="S3" s="5"/>
      <c r="T3" s="5"/>
      <c r="U3" s="5"/>
      <c r="V3" s="5"/>
      <c r="W3" s="5"/>
      <c r="X3" s="5"/>
      <c r="Y3" s="5"/>
      <c r="Z3" s="5"/>
    </row>
    <row r="4" spans="1:26" ht="21" customHeight="1">
      <c r="A4" s="140" t="s">
        <v>237</v>
      </c>
      <c r="B4" s="140"/>
      <c r="C4" s="140"/>
      <c r="D4" s="140"/>
      <c r="E4" s="140"/>
      <c r="F4" s="140"/>
      <c r="G4" s="140"/>
      <c r="H4" s="140"/>
      <c r="I4" s="140"/>
      <c r="J4" s="140"/>
      <c r="K4" s="5"/>
      <c r="L4" s="5"/>
      <c r="M4" s="5"/>
      <c r="N4" s="5"/>
      <c r="O4" s="5"/>
      <c r="P4" s="5"/>
      <c r="Q4" s="5"/>
      <c r="R4" s="5"/>
      <c r="S4" s="5"/>
      <c r="T4" s="5"/>
      <c r="U4" s="5"/>
      <c r="V4" s="5"/>
      <c r="W4" s="5"/>
      <c r="X4" s="5"/>
      <c r="Y4" s="5"/>
      <c r="Z4" s="5"/>
    </row>
    <row r="5" spans="1:26" ht="15">
      <c r="A5" s="2" t="s">
        <v>238</v>
      </c>
      <c r="B5" s="2" t="s">
        <v>239</v>
      </c>
      <c r="C5" s="2" t="s">
        <v>240</v>
      </c>
      <c r="D5" s="2" t="s">
        <v>241</v>
      </c>
      <c r="E5" s="2" t="s">
        <v>242</v>
      </c>
      <c r="F5" s="2" t="s">
        <v>243</v>
      </c>
      <c r="G5" s="2" t="s">
        <v>244</v>
      </c>
      <c r="H5" s="2" t="s">
        <v>245</v>
      </c>
      <c r="I5" s="2" t="s">
        <v>246</v>
      </c>
      <c r="J5" s="2" t="s">
        <v>150</v>
      </c>
      <c r="K5" s="5"/>
      <c r="L5" s="5"/>
      <c r="M5" s="5"/>
      <c r="N5" s="5"/>
      <c r="O5" s="5"/>
      <c r="P5" s="5"/>
      <c r="Q5" s="5"/>
      <c r="R5" s="5"/>
      <c r="S5" s="5"/>
      <c r="T5" s="5"/>
      <c r="U5" s="5"/>
      <c r="V5" s="5"/>
      <c r="W5" s="5"/>
      <c r="X5" s="5"/>
      <c r="Y5" s="5"/>
      <c r="Z5" s="5"/>
    </row>
    <row r="6" spans="1:26" ht="28.5">
      <c r="A6" s="3">
        <v>3100</v>
      </c>
      <c r="B6" s="3" t="s">
        <v>48</v>
      </c>
      <c r="C6" s="31">
        <v>1706023</v>
      </c>
      <c r="D6" s="31">
        <v>1513144</v>
      </c>
      <c r="E6" s="31">
        <v>1551845</v>
      </c>
      <c r="F6" s="31">
        <v>1749088</v>
      </c>
      <c r="G6" s="31">
        <v>1824198</v>
      </c>
      <c r="H6" s="31">
        <v>1751444</v>
      </c>
      <c r="I6" s="31">
        <v>-72754</v>
      </c>
      <c r="J6" s="3" t="s">
        <v>184</v>
      </c>
      <c r="K6" s="5"/>
      <c r="L6" s="5"/>
      <c r="M6" s="5"/>
      <c r="N6" s="5"/>
      <c r="O6" s="5"/>
      <c r="P6" s="5"/>
      <c r="Q6" s="5"/>
      <c r="R6" s="5"/>
      <c r="S6" s="5"/>
      <c r="T6" s="5"/>
      <c r="U6" s="5"/>
      <c r="V6" s="5"/>
      <c r="W6" s="5"/>
      <c r="X6" s="5"/>
      <c r="Y6" s="5"/>
      <c r="Z6" s="5"/>
    </row>
    <row r="7" spans="1:26" ht="42.75">
      <c r="A7" s="3">
        <v>3200</v>
      </c>
      <c r="B7" s="3" t="s">
        <v>247</v>
      </c>
      <c r="C7" s="31">
        <v>617496</v>
      </c>
      <c r="D7" s="31">
        <v>541382</v>
      </c>
      <c r="E7" s="31">
        <v>510140</v>
      </c>
      <c r="F7" s="31">
        <v>505922</v>
      </c>
      <c r="G7" s="31">
        <v>534557</v>
      </c>
      <c r="H7" s="31">
        <v>561401</v>
      </c>
      <c r="I7" s="31">
        <v>26844</v>
      </c>
      <c r="J7" s="3" t="s">
        <v>184</v>
      </c>
      <c r="K7" s="5"/>
      <c r="L7" s="5"/>
      <c r="M7" s="5"/>
      <c r="N7" s="5"/>
      <c r="O7" s="5"/>
      <c r="P7" s="5"/>
      <c r="Q7" s="5"/>
      <c r="R7" s="5"/>
      <c r="S7" s="5"/>
      <c r="T7" s="5"/>
      <c r="U7" s="5"/>
      <c r="V7" s="5"/>
      <c r="W7" s="5"/>
      <c r="X7" s="5"/>
      <c r="Y7" s="5"/>
      <c r="Z7" s="5"/>
    </row>
    <row r="8" spans="1:26" ht="28.5">
      <c r="A8" s="3">
        <v>3500</v>
      </c>
      <c r="B8" s="3" t="s">
        <v>50</v>
      </c>
      <c r="C8" s="31">
        <v>1162487</v>
      </c>
      <c r="D8" s="31">
        <v>995100</v>
      </c>
      <c r="E8" s="31">
        <v>956242</v>
      </c>
      <c r="F8" s="31">
        <v>1196997</v>
      </c>
      <c r="G8" s="31">
        <v>1160679</v>
      </c>
      <c r="H8" s="31">
        <v>1403725</v>
      </c>
      <c r="I8" s="31">
        <v>243046</v>
      </c>
      <c r="J8" s="3" t="s">
        <v>184</v>
      </c>
      <c r="K8" s="5"/>
      <c r="L8" s="5"/>
      <c r="M8" s="5"/>
      <c r="N8" s="5"/>
      <c r="O8" s="5"/>
      <c r="P8" s="5"/>
      <c r="Q8" s="5"/>
      <c r="R8" s="5"/>
      <c r="S8" s="5"/>
      <c r="T8" s="5"/>
      <c r="U8" s="5"/>
      <c r="V8" s="5"/>
      <c r="W8" s="5"/>
      <c r="X8" s="5"/>
      <c r="Y8" s="5"/>
      <c r="Z8" s="5"/>
    </row>
    <row r="9" spans="1:26" ht="45">
      <c r="A9" s="11"/>
      <c r="B9" s="11" t="s">
        <v>248</v>
      </c>
      <c r="C9" s="32">
        <v>3486006</v>
      </c>
      <c r="D9" s="32">
        <v>3049626</v>
      </c>
      <c r="E9" s="32">
        <v>3018227</v>
      </c>
      <c r="F9" s="32">
        <v>3452007</v>
      </c>
      <c r="G9" s="32">
        <v>3519434</v>
      </c>
      <c r="H9" s="32">
        <v>3716570</v>
      </c>
      <c r="I9" s="32">
        <v>197136</v>
      </c>
      <c r="J9" s="11" t="s">
        <v>184</v>
      </c>
      <c r="K9" s="5"/>
      <c r="L9" s="5"/>
      <c r="M9" s="5"/>
      <c r="N9" s="5"/>
      <c r="O9" s="5"/>
      <c r="P9" s="5"/>
      <c r="Q9" s="5"/>
      <c r="R9" s="5"/>
      <c r="S9" s="5"/>
      <c r="T9" s="5"/>
      <c r="U9" s="5"/>
      <c r="V9" s="5"/>
      <c r="W9" s="5"/>
      <c r="X9" s="5"/>
      <c r="Y9" s="5"/>
      <c r="Z9" s="5"/>
    </row>
    <row r="10" spans="1:26" ht="42.75">
      <c r="A10" s="3">
        <v>4100</v>
      </c>
      <c r="B10" s="3" t="s">
        <v>249</v>
      </c>
      <c r="C10" s="31">
        <v>0</v>
      </c>
      <c r="D10" s="31">
        <v>85960</v>
      </c>
      <c r="E10" s="31">
        <v>0</v>
      </c>
      <c r="F10" s="31">
        <v>0</v>
      </c>
      <c r="G10" s="31">
        <v>0</v>
      </c>
      <c r="H10" s="31">
        <v>0</v>
      </c>
      <c r="I10" s="31">
        <v>0</v>
      </c>
      <c r="J10" s="3" t="s">
        <v>184</v>
      </c>
      <c r="K10" s="5"/>
      <c r="L10" s="5"/>
      <c r="M10" s="5"/>
      <c r="N10" s="5"/>
      <c r="O10" s="5"/>
      <c r="P10" s="5"/>
      <c r="Q10" s="5"/>
      <c r="R10" s="5"/>
      <c r="S10" s="5"/>
      <c r="T10" s="5"/>
      <c r="U10" s="5"/>
      <c r="V10" s="5"/>
      <c r="W10" s="5"/>
      <c r="X10" s="5"/>
      <c r="Y10" s="5"/>
      <c r="Z10" s="5"/>
    </row>
    <row r="11" spans="1:26">
      <c r="A11" s="3">
        <v>4200</v>
      </c>
      <c r="B11" s="3" t="s">
        <v>250</v>
      </c>
      <c r="C11" s="31">
        <v>148</v>
      </c>
      <c r="D11" s="31">
        <v>170</v>
      </c>
      <c r="E11" s="31">
        <v>483</v>
      </c>
      <c r="F11" s="31">
        <v>875</v>
      </c>
      <c r="G11" s="31">
        <v>1350</v>
      </c>
      <c r="H11" s="31">
        <v>1140</v>
      </c>
      <c r="I11" s="31">
        <v>-210</v>
      </c>
      <c r="J11" s="3" t="s">
        <v>184</v>
      </c>
      <c r="K11" s="5"/>
      <c r="L11" s="5"/>
      <c r="M11" s="5"/>
      <c r="N11" s="5"/>
      <c r="O11" s="5"/>
      <c r="P11" s="5"/>
      <c r="Q11" s="5"/>
      <c r="R11" s="5"/>
      <c r="S11" s="5"/>
      <c r="T11" s="5"/>
      <c r="U11" s="5"/>
      <c r="V11" s="5"/>
      <c r="W11" s="5"/>
      <c r="X11" s="5"/>
      <c r="Y11" s="5"/>
      <c r="Z11" s="5"/>
    </row>
    <row r="12" spans="1:26">
      <c r="A12" s="3">
        <v>4250</v>
      </c>
      <c r="B12" s="3" t="s">
        <v>251</v>
      </c>
      <c r="C12" s="31">
        <v>0</v>
      </c>
      <c r="D12" s="31">
        <v>64</v>
      </c>
      <c r="E12" s="31">
        <v>0</v>
      </c>
      <c r="F12" s="31">
        <v>0</v>
      </c>
      <c r="G12" s="31">
        <v>0</v>
      </c>
      <c r="H12" s="31">
        <v>0</v>
      </c>
      <c r="I12" s="31">
        <v>0</v>
      </c>
      <c r="J12" s="3" t="s">
        <v>184</v>
      </c>
      <c r="K12" s="5"/>
      <c r="L12" s="5"/>
      <c r="M12" s="5"/>
      <c r="N12" s="5"/>
      <c r="O12" s="5"/>
      <c r="P12" s="5"/>
      <c r="Q12" s="5"/>
      <c r="R12" s="5"/>
      <c r="S12" s="5"/>
      <c r="T12" s="5"/>
      <c r="U12" s="5"/>
      <c r="V12" s="5"/>
      <c r="W12" s="5"/>
      <c r="X12" s="5"/>
      <c r="Y12" s="5"/>
      <c r="Z12" s="5"/>
    </row>
    <row r="13" spans="1:26">
      <c r="A13" s="3">
        <v>4300</v>
      </c>
      <c r="B13" s="3" t="s">
        <v>252</v>
      </c>
      <c r="C13" s="31">
        <v>7454</v>
      </c>
      <c r="D13" s="31">
        <v>8579</v>
      </c>
      <c r="E13" s="31">
        <v>9716</v>
      </c>
      <c r="F13" s="31">
        <v>8329</v>
      </c>
      <c r="G13" s="31">
        <v>8329</v>
      </c>
      <c r="H13" s="31">
        <v>8679</v>
      </c>
      <c r="I13" s="31">
        <v>350</v>
      </c>
      <c r="J13" s="3" t="s">
        <v>184</v>
      </c>
      <c r="K13" s="5"/>
      <c r="L13" s="5"/>
      <c r="M13" s="5"/>
      <c r="N13" s="5"/>
      <c r="O13" s="5"/>
      <c r="P13" s="5"/>
      <c r="Q13" s="5"/>
      <c r="R13" s="5"/>
      <c r="S13" s="5"/>
      <c r="T13" s="5"/>
      <c r="U13" s="5"/>
      <c r="V13" s="5"/>
      <c r="W13" s="5"/>
      <c r="X13" s="5"/>
      <c r="Y13" s="5"/>
      <c r="Z13" s="5"/>
    </row>
    <row r="14" spans="1:26">
      <c r="A14" s="3">
        <v>4350</v>
      </c>
      <c r="B14" s="3" t="s">
        <v>253</v>
      </c>
      <c r="C14" s="31">
        <v>98066</v>
      </c>
      <c r="D14" s="31">
        <v>94165</v>
      </c>
      <c r="E14" s="31">
        <v>125329</v>
      </c>
      <c r="F14" s="31">
        <v>96049</v>
      </c>
      <c r="G14" s="31">
        <v>96049</v>
      </c>
      <c r="H14" s="31">
        <v>92944</v>
      </c>
      <c r="I14" s="31">
        <v>-3105</v>
      </c>
      <c r="J14" s="3" t="s">
        <v>184</v>
      </c>
      <c r="K14" s="5"/>
      <c r="L14" s="5"/>
      <c r="M14" s="5"/>
      <c r="N14" s="5"/>
      <c r="O14" s="5"/>
      <c r="P14" s="5"/>
      <c r="Q14" s="5"/>
      <c r="R14" s="5"/>
      <c r="S14" s="5"/>
      <c r="T14" s="5"/>
      <c r="U14" s="5"/>
      <c r="V14" s="5"/>
      <c r="W14" s="5"/>
      <c r="X14" s="5"/>
      <c r="Y14" s="5"/>
      <c r="Z14" s="5"/>
    </row>
    <row r="15" spans="1:26" ht="42.75">
      <c r="A15" s="3">
        <v>4400</v>
      </c>
      <c r="B15" s="3" t="s">
        <v>254</v>
      </c>
      <c r="C15" s="31">
        <v>2873</v>
      </c>
      <c r="D15" s="31">
        <v>3519</v>
      </c>
      <c r="E15" s="31">
        <v>2257</v>
      </c>
      <c r="F15" s="31">
        <v>2895</v>
      </c>
      <c r="G15" s="31">
        <v>3008</v>
      </c>
      <c r="H15" s="31">
        <v>2707</v>
      </c>
      <c r="I15" s="31">
        <v>-301</v>
      </c>
      <c r="J15" s="3" t="s">
        <v>184</v>
      </c>
      <c r="K15" s="5"/>
      <c r="L15" s="5"/>
      <c r="M15" s="5"/>
      <c r="N15" s="5"/>
      <c r="O15" s="5"/>
      <c r="P15" s="5"/>
      <c r="Q15" s="5"/>
      <c r="R15" s="5"/>
      <c r="S15" s="5"/>
      <c r="T15" s="5"/>
      <c r="U15" s="5"/>
      <c r="V15" s="5"/>
      <c r="W15" s="5"/>
      <c r="X15" s="5"/>
      <c r="Y15" s="5"/>
      <c r="Z15" s="5"/>
    </row>
    <row r="16" spans="1:26" ht="42.75">
      <c r="A16" s="3">
        <v>4500</v>
      </c>
      <c r="B16" s="3" t="s">
        <v>255</v>
      </c>
      <c r="C16" s="31">
        <v>51923</v>
      </c>
      <c r="D16" s="31">
        <v>54930</v>
      </c>
      <c r="E16" s="31">
        <v>43835</v>
      </c>
      <c r="F16" s="31">
        <v>26917</v>
      </c>
      <c r="G16" s="31">
        <v>32879</v>
      </c>
      <c r="H16" s="31">
        <v>27980</v>
      </c>
      <c r="I16" s="31">
        <v>-4899</v>
      </c>
      <c r="J16" s="3" t="s">
        <v>184</v>
      </c>
      <c r="K16" s="5"/>
      <c r="L16" s="5"/>
      <c r="M16" s="5"/>
      <c r="N16" s="5"/>
      <c r="O16" s="5"/>
      <c r="P16" s="5"/>
      <c r="Q16" s="5"/>
      <c r="R16" s="5"/>
      <c r="S16" s="5"/>
      <c r="T16" s="5"/>
      <c r="U16" s="5"/>
      <c r="V16" s="5"/>
      <c r="W16" s="5"/>
      <c r="X16" s="5"/>
      <c r="Y16" s="5"/>
      <c r="Z16" s="5"/>
    </row>
    <row r="17" spans="1:26" ht="28.5">
      <c r="A17" s="3">
        <v>4900</v>
      </c>
      <c r="B17" s="3" t="s">
        <v>256</v>
      </c>
      <c r="C17" s="31">
        <v>718</v>
      </c>
      <c r="D17" s="31">
        <v>718</v>
      </c>
      <c r="E17" s="31">
        <v>905</v>
      </c>
      <c r="F17" s="31">
        <v>700</v>
      </c>
      <c r="G17" s="31">
        <v>700</v>
      </c>
      <c r="H17" s="31">
        <v>725</v>
      </c>
      <c r="I17" s="31">
        <v>25</v>
      </c>
      <c r="J17" s="3" t="s">
        <v>184</v>
      </c>
      <c r="K17" s="5"/>
      <c r="L17" s="5"/>
      <c r="M17" s="5"/>
      <c r="N17" s="5"/>
      <c r="O17" s="5"/>
      <c r="P17" s="5"/>
      <c r="Q17" s="5"/>
      <c r="R17" s="5"/>
      <c r="S17" s="5"/>
      <c r="T17" s="5"/>
      <c r="U17" s="5"/>
      <c r="V17" s="5"/>
      <c r="W17" s="5"/>
      <c r="X17" s="5"/>
      <c r="Y17" s="5"/>
      <c r="Z17" s="5"/>
    </row>
    <row r="18" spans="1:26" ht="30">
      <c r="A18" s="11"/>
      <c r="B18" s="11" t="s">
        <v>257</v>
      </c>
      <c r="C18" s="32">
        <v>161182</v>
      </c>
      <c r="D18" s="32">
        <v>248105</v>
      </c>
      <c r="E18" s="32">
        <v>182525</v>
      </c>
      <c r="F18" s="32">
        <v>135765</v>
      </c>
      <c r="G18" s="32">
        <v>142315</v>
      </c>
      <c r="H18" s="32">
        <v>134175</v>
      </c>
      <c r="I18" s="32">
        <v>-8140</v>
      </c>
      <c r="J18" s="11" t="s">
        <v>184</v>
      </c>
      <c r="K18" s="5"/>
      <c r="L18" s="5"/>
      <c r="M18" s="5"/>
      <c r="N18" s="5"/>
      <c r="O18" s="5"/>
      <c r="P18" s="5"/>
      <c r="Q18" s="5"/>
      <c r="R18" s="5"/>
      <c r="S18" s="5"/>
      <c r="T18" s="5"/>
      <c r="U18" s="5"/>
      <c r="V18" s="5"/>
      <c r="W18" s="5"/>
      <c r="X18" s="5"/>
      <c r="Y18" s="5"/>
      <c r="Z18" s="5"/>
    </row>
    <row r="19" spans="1:26">
      <c r="A19" s="3">
        <v>5100</v>
      </c>
      <c r="B19" s="3" t="s">
        <v>258</v>
      </c>
      <c r="C19" s="31">
        <v>2675</v>
      </c>
      <c r="D19" s="31">
        <v>12538</v>
      </c>
      <c r="E19" s="31">
        <v>0</v>
      </c>
      <c r="F19" s="31">
        <v>0</v>
      </c>
      <c r="G19" s="31">
        <v>1400</v>
      </c>
      <c r="H19" s="31">
        <v>0</v>
      </c>
      <c r="I19" s="31">
        <v>-1400</v>
      </c>
      <c r="J19" s="3" t="s">
        <v>184</v>
      </c>
      <c r="K19" s="5"/>
      <c r="L19" s="5"/>
      <c r="M19" s="5"/>
      <c r="N19" s="5"/>
      <c r="O19" s="5"/>
      <c r="P19" s="5"/>
      <c r="Q19" s="5"/>
      <c r="R19" s="5"/>
      <c r="S19" s="5"/>
      <c r="T19" s="5"/>
      <c r="U19" s="5"/>
      <c r="V19" s="5"/>
      <c r="W19" s="5"/>
      <c r="X19" s="5"/>
      <c r="Y19" s="5"/>
      <c r="Z19" s="5"/>
    </row>
    <row r="20" spans="1:26" ht="30">
      <c r="A20" s="11"/>
      <c r="B20" s="11" t="s">
        <v>259</v>
      </c>
      <c r="C20" s="32">
        <v>3649863</v>
      </c>
      <c r="D20" s="32">
        <v>3310269</v>
      </c>
      <c r="E20" s="32">
        <v>3200752</v>
      </c>
      <c r="F20" s="32">
        <v>3587772</v>
      </c>
      <c r="G20" s="32">
        <v>3663149</v>
      </c>
      <c r="H20" s="32">
        <v>3850745</v>
      </c>
      <c r="I20" s="32">
        <v>187596</v>
      </c>
      <c r="J20" s="11" t="s">
        <v>184</v>
      </c>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ht="21" customHeight="1">
      <c r="A22" s="140" t="s">
        <v>260</v>
      </c>
      <c r="B22" s="140"/>
      <c r="C22" s="140"/>
      <c r="D22" s="140"/>
      <c r="E22" s="140"/>
      <c r="F22" s="140"/>
      <c r="G22" s="140"/>
      <c r="H22" s="140"/>
      <c r="I22" s="140"/>
      <c r="J22" s="140"/>
      <c r="K22" s="5"/>
      <c r="L22" s="5"/>
      <c r="M22" s="5"/>
      <c r="N22" s="5"/>
      <c r="O22" s="5"/>
      <c r="P22" s="5"/>
      <c r="Q22" s="5"/>
      <c r="R22" s="5"/>
      <c r="S22" s="5"/>
      <c r="T22" s="5"/>
      <c r="U22" s="5"/>
      <c r="V22" s="5"/>
      <c r="W22" s="5"/>
      <c r="X22" s="5"/>
      <c r="Y22" s="5"/>
      <c r="Z22" s="5"/>
    </row>
    <row r="23" spans="1:26" ht="30">
      <c r="A23" s="2" t="s">
        <v>3</v>
      </c>
      <c r="B23" s="2" t="s">
        <v>240</v>
      </c>
      <c r="C23" s="2" t="s">
        <v>241</v>
      </c>
      <c r="D23" s="2" t="s">
        <v>242</v>
      </c>
      <c r="E23" s="2" t="s">
        <v>243</v>
      </c>
      <c r="F23" s="2" t="s">
        <v>244</v>
      </c>
      <c r="G23" s="2" t="s">
        <v>245</v>
      </c>
      <c r="H23" s="2" t="s">
        <v>261</v>
      </c>
      <c r="I23" s="2" t="s">
        <v>150</v>
      </c>
      <c r="J23" s="2" t="s">
        <v>66</v>
      </c>
      <c r="K23" s="5"/>
      <c r="L23" s="5"/>
      <c r="M23" s="5"/>
      <c r="N23" s="5"/>
      <c r="O23" s="5"/>
      <c r="P23" s="5"/>
      <c r="Q23" s="5"/>
      <c r="R23" s="5"/>
      <c r="S23" s="5"/>
      <c r="T23" s="5"/>
      <c r="U23" s="5"/>
      <c r="V23" s="5"/>
      <c r="W23" s="5"/>
      <c r="X23" s="5"/>
      <c r="Y23" s="5"/>
      <c r="Z23" s="5"/>
    </row>
    <row r="24" spans="1:26">
      <c r="A24" s="5" t="s">
        <v>262</v>
      </c>
      <c r="B24" s="33">
        <v>259</v>
      </c>
      <c r="C24" s="33">
        <v>237</v>
      </c>
      <c r="D24" s="33">
        <v>243</v>
      </c>
      <c r="E24" s="33">
        <v>237</v>
      </c>
      <c r="F24" s="33">
        <v>258</v>
      </c>
      <c r="G24" s="33">
        <v>249</v>
      </c>
      <c r="H24" s="33">
        <v>-9</v>
      </c>
      <c r="I24" s="5" t="s">
        <v>263</v>
      </c>
      <c r="J24" s="5" t="s">
        <v>264</v>
      </c>
      <c r="K24" s="5"/>
      <c r="L24" s="5"/>
      <c r="M24" s="5"/>
      <c r="N24" s="5"/>
      <c r="O24" s="5"/>
      <c r="P24" s="5"/>
      <c r="Q24" s="5"/>
      <c r="R24" s="5"/>
      <c r="S24" s="5"/>
      <c r="T24" s="5"/>
      <c r="U24" s="5"/>
      <c r="V24" s="5"/>
      <c r="W24" s="5"/>
      <c r="X24" s="5"/>
      <c r="Y24" s="5"/>
      <c r="Z24" s="5"/>
    </row>
    <row r="25" spans="1:26">
      <c r="A25" s="5" t="s">
        <v>265</v>
      </c>
      <c r="B25" s="34">
        <v>1</v>
      </c>
      <c r="C25" s="34">
        <v>1</v>
      </c>
      <c r="D25" s="34">
        <v>1</v>
      </c>
      <c r="E25" s="34">
        <v>1</v>
      </c>
      <c r="F25" s="34">
        <v>1</v>
      </c>
      <c r="G25" s="34">
        <v>1</v>
      </c>
      <c r="H25" s="34">
        <v>0</v>
      </c>
      <c r="I25" s="5" t="s">
        <v>263</v>
      </c>
      <c r="J25" s="5"/>
      <c r="K25" s="5"/>
      <c r="L25" s="5"/>
      <c r="M25" s="5"/>
      <c r="N25" s="5"/>
      <c r="O25" s="5"/>
      <c r="P25" s="5"/>
      <c r="Q25" s="5"/>
      <c r="R25" s="5"/>
      <c r="S25" s="5"/>
      <c r="T25" s="5"/>
      <c r="U25" s="5"/>
      <c r="V25" s="5"/>
      <c r="W25" s="5"/>
      <c r="X25" s="5"/>
      <c r="Y25" s="5"/>
      <c r="Z25" s="5"/>
    </row>
    <row r="26" spans="1:26">
      <c r="A26" s="5" t="s">
        <v>266</v>
      </c>
      <c r="B26" s="34">
        <v>12</v>
      </c>
      <c r="C26" s="34">
        <v>14</v>
      </c>
      <c r="D26" s="34">
        <v>10.65</v>
      </c>
      <c r="E26" s="34">
        <v>13.5</v>
      </c>
      <c r="F26" s="34">
        <v>14.5</v>
      </c>
      <c r="G26" s="34">
        <v>15</v>
      </c>
      <c r="H26" s="34">
        <v>0.5</v>
      </c>
      <c r="I26" s="5" t="s">
        <v>263</v>
      </c>
      <c r="J26" s="5"/>
      <c r="K26" s="5"/>
      <c r="L26" s="5"/>
      <c r="M26" s="5"/>
      <c r="N26" s="5"/>
      <c r="O26" s="5"/>
      <c r="P26" s="5"/>
      <c r="Q26" s="5"/>
      <c r="R26" s="5"/>
      <c r="S26" s="5"/>
      <c r="T26" s="5"/>
      <c r="U26" s="5"/>
      <c r="V26" s="5"/>
      <c r="W26" s="5"/>
      <c r="X26" s="5"/>
      <c r="Y26" s="5"/>
      <c r="Z26" s="5"/>
    </row>
    <row r="27" spans="1:26">
      <c r="A27" s="5" t="s">
        <v>267</v>
      </c>
      <c r="B27" s="34">
        <v>1.35</v>
      </c>
      <c r="C27" s="34">
        <v>0.4</v>
      </c>
      <c r="D27" s="34">
        <v>1.1000000000000001</v>
      </c>
      <c r="E27" s="34">
        <v>1.6</v>
      </c>
      <c r="F27" s="34">
        <v>1.05</v>
      </c>
      <c r="G27" s="34">
        <v>1.05</v>
      </c>
      <c r="H27" s="34">
        <v>0</v>
      </c>
      <c r="I27" s="5" t="s">
        <v>263</v>
      </c>
      <c r="J27" s="5" t="s">
        <v>268</v>
      </c>
      <c r="K27" s="5"/>
      <c r="L27" s="5"/>
      <c r="M27" s="5"/>
      <c r="N27" s="5"/>
      <c r="O27" s="5"/>
      <c r="P27" s="5"/>
      <c r="Q27" s="5"/>
      <c r="R27" s="5"/>
      <c r="S27" s="5"/>
      <c r="T27" s="5"/>
      <c r="U27" s="5"/>
      <c r="V27" s="5"/>
      <c r="W27" s="5"/>
      <c r="X27" s="5"/>
      <c r="Y27" s="5"/>
      <c r="Z27" s="5"/>
    </row>
    <row r="28" spans="1:26">
      <c r="A28" s="5" t="s">
        <v>269</v>
      </c>
      <c r="B28" s="34">
        <v>7</v>
      </c>
      <c r="C28" s="34">
        <v>6</v>
      </c>
      <c r="D28" s="34">
        <v>5</v>
      </c>
      <c r="E28" s="34">
        <v>5</v>
      </c>
      <c r="F28" s="34">
        <v>5</v>
      </c>
      <c r="G28" s="34">
        <v>5</v>
      </c>
      <c r="H28" s="34">
        <v>0</v>
      </c>
      <c r="I28" s="5" t="s">
        <v>263</v>
      </c>
      <c r="J28" s="5"/>
      <c r="K28" s="5"/>
      <c r="L28" s="5"/>
      <c r="M28" s="5"/>
      <c r="N28" s="5"/>
      <c r="O28" s="5"/>
      <c r="P28" s="5"/>
      <c r="Q28" s="5"/>
      <c r="R28" s="5"/>
      <c r="S28" s="5"/>
      <c r="T28" s="5"/>
      <c r="U28" s="5"/>
      <c r="V28" s="5"/>
      <c r="W28" s="5"/>
      <c r="X28" s="5"/>
      <c r="Y28" s="5"/>
      <c r="Z28" s="5"/>
    </row>
    <row r="29" spans="1:26" ht="15">
      <c r="A29" s="24" t="s">
        <v>270</v>
      </c>
      <c r="B29" s="35">
        <v>21.35</v>
      </c>
      <c r="C29" s="35">
        <v>21.4</v>
      </c>
      <c r="D29" s="35">
        <v>17.75</v>
      </c>
      <c r="E29" s="35">
        <v>21.1</v>
      </c>
      <c r="F29" s="35">
        <v>21.55</v>
      </c>
      <c r="G29" s="35">
        <v>22.05</v>
      </c>
      <c r="H29" s="35">
        <v>0.5</v>
      </c>
      <c r="I29" s="24" t="s">
        <v>263</v>
      </c>
      <c r="J29" s="24"/>
      <c r="K29" s="5"/>
      <c r="L29" s="5"/>
      <c r="M29" s="5"/>
      <c r="N29" s="5"/>
      <c r="O29" s="5"/>
      <c r="P29" s="5"/>
      <c r="Q29" s="5"/>
      <c r="R29" s="5"/>
      <c r="S29" s="5"/>
      <c r="T29" s="5"/>
      <c r="U29" s="5"/>
      <c r="V29" s="5"/>
      <c r="W29" s="5"/>
      <c r="X29" s="5"/>
      <c r="Y29" s="5"/>
      <c r="Z29" s="5"/>
    </row>
    <row r="30" spans="1:26">
      <c r="A30" s="5" t="s">
        <v>271</v>
      </c>
      <c r="B30" s="34">
        <v>9.3000000000000007</v>
      </c>
      <c r="C30" s="34">
        <v>7.36</v>
      </c>
      <c r="D30" s="34">
        <v>7.45</v>
      </c>
      <c r="E30" s="34">
        <v>7.35</v>
      </c>
      <c r="F30" s="34">
        <v>7.33</v>
      </c>
      <c r="G30" s="34">
        <v>7.33</v>
      </c>
      <c r="H30" s="34">
        <v>0</v>
      </c>
      <c r="I30" s="5" t="s">
        <v>263</v>
      </c>
      <c r="J30" s="5"/>
      <c r="K30" s="5"/>
      <c r="L30" s="5"/>
      <c r="M30" s="5"/>
      <c r="N30" s="5"/>
      <c r="O30" s="5"/>
      <c r="P30" s="5"/>
      <c r="Q30" s="5"/>
      <c r="R30" s="5"/>
      <c r="S30" s="5"/>
      <c r="T30" s="5"/>
      <c r="U30" s="5"/>
      <c r="V30" s="5"/>
      <c r="W30" s="5"/>
      <c r="X30" s="5"/>
      <c r="Y30" s="5"/>
      <c r="Z30" s="5"/>
    </row>
    <row r="31" spans="1:26">
      <c r="A31" s="5" t="s">
        <v>272</v>
      </c>
      <c r="B31" s="34">
        <v>0.4</v>
      </c>
      <c r="C31" s="34">
        <v>0.4</v>
      </c>
      <c r="D31" s="34">
        <v>0.37</v>
      </c>
      <c r="E31" s="34">
        <v>0.38</v>
      </c>
      <c r="F31" s="34">
        <v>0.38</v>
      </c>
      <c r="G31" s="34">
        <v>0.39</v>
      </c>
      <c r="H31" s="34">
        <v>0.01</v>
      </c>
      <c r="I31" s="5" t="s">
        <v>263</v>
      </c>
      <c r="J31" s="5" t="s">
        <v>273</v>
      </c>
      <c r="K31" s="5"/>
      <c r="L31" s="5"/>
      <c r="M31" s="5"/>
      <c r="N31" s="5"/>
      <c r="O31" s="5"/>
      <c r="P31" s="5"/>
      <c r="Q31" s="5"/>
      <c r="R31" s="5"/>
      <c r="S31" s="5"/>
      <c r="T31" s="5"/>
      <c r="U31" s="5"/>
      <c r="V31" s="5"/>
      <c r="W31" s="5"/>
      <c r="X31" s="5"/>
      <c r="Y31" s="5"/>
      <c r="Z31" s="5"/>
    </row>
    <row r="32" spans="1:26">
      <c r="A32" s="5" t="s">
        <v>223</v>
      </c>
      <c r="B32" s="34">
        <v>0.68</v>
      </c>
      <c r="C32" s="34">
        <v>0.68</v>
      </c>
      <c r="D32" s="34">
        <v>0.68</v>
      </c>
      <c r="E32" s="34">
        <v>0.68</v>
      </c>
      <c r="F32" s="34">
        <v>0.69</v>
      </c>
      <c r="G32" s="34">
        <v>0.69</v>
      </c>
      <c r="H32" s="34">
        <v>0</v>
      </c>
      <c r="I32" s="5" t="s">
        <v>263</v>
      </c>
      <c r="J32" s="5" t="s">
        <v>274</v>
      </c>
      <c r="K32" s="5"/>
      <c r="L32" s="5"/>
      <c r="M32" s="5"/>
      <c r="N32" s="5"/>
      <c r="O32" s="5"/>
      <c r="P32" s="5"/>
      <c r="Q32" s="5"/>
      <c r="R32" s="5"/>
      <c r="S32" s="5"/>
      <c r="T32" s="5"/>
      <c r="U32" s="5"/>
      <c r="V32" s="5"/>
      <c r="W32" s="5"/>
      <c r="X32" s="5"/>
      <c r="Y32" s="5"/>
      <c r="Z32" s="5"/>
    </row>
    <row r="33" spans="1:26">
      <c r="A33" s="5" t="s">
        <v>275</v>
      </c>
      <c r="B33" s="34">
        <v>1</v>
      </c>
      <c r="C33" s="34">
        <v>1.5</v>
      </c>
      <c r="D33" s="34">
        <v>1</v>
      </c>
      <c r="E33" s="34">
        <v>1</v>
      </c>
      <c r="F33" s="34">
        <v>1</v>
      </c>
      <c r="G33" s="34">
        <v>1</v>
      </c>
      <c r="H33" s="34">
        <v>0</v>
      </c>
      <c r="I33" s="5" t="s">
        <v>263</v>
      </c>
      <c r="J33" s="5"/>
      <c r="K33" s="5"/>
      <c r="L33" s="5"/>
      <c r="M33" s="5"/>
      <c r="N33" s="5"/>
      <c r="O33" s="5"/>
      <c r="P33" s="5"/>
      <c r="Q33" s="5"/>
      <c r="R33" s="5"/>
      <c r="S33" s="5"/>
      <c r="T33" s="5"/>
      <c r="U33" s="5"/>
      <c r="V33" s="5"/>
      <c r="W33" s="5"/>
      <c r="X33" s="5"/>
      <c r="Y33" s="5"/>
      <c r="Z33" s="5"/>
    </row>
    <row r="34" spans="1:26">
      <c r="A34" s="5" t="s">
        <v>276</v>
      </c>
      <c r="B34" s="34">
        <v>1.5</v>
      </c>
      <c r="C34" s="34">
        <v>2</v>
      </c>
      <c r="D34" s="34">
        <v>2</v>
      </c>
      <c r="E34" s="34">
        <v>2</v>
      </c>
      <c r="F34" s="34">
        <v>3</v>
      </c>
      <c r="G34" s="34">
        <v>3.5</v>
      </c>
      <c r="H34" s="34">
        <v>0.5</v>
      </c>
      <c r="I34" s="5" t="s">
        <v>263</v>
      </c>
      <c r="J34" s="5"/>
      <c r="K34" s="5"/>
      <c r="L34" s="5"/>
      <c r="M34" s="5"/>
      <c r="N34" s="5"/>
      <c r="O34" s="5"/>
      <c r="P34" s="5"/>
      <c r="Q34" s="5"/>
      <c r="R34" s="5"/>
      <c r="S34" s="5"/>
      <c r="T34" s="5"/>
      <c r="U34" s="5"/>
      <c r="V34" s="5"/>
      <c r="W34" s="5"/>
      <c r="X34" s="5"/>
      <c r="Y34" s="5"/>
      <c r="Z34" s="5"/>
    </row>
    <row r="35" spans="1:26" ht="15">
      <c r="A35" s="24" t="s">
        <v>277</v>
      </c>
      <c r="B35" s="35">
        <v>12.88</v>
      </c>
      <c r="C35" s="35">
        <v>11.94</v>
      </c>
      <c r="D35" s="35">
        <v>11.5</v>
      </c>
      <c r="E35" s="35">
        <v>11.41</v>
      </c>
      <c r="F35" s="35">
        <v>12.4</v>
      </c>
      <c r="G35" s="35">
        <v>12.91</v>
      </c>
      <c r="H35" s="35">
        <v>0.51</v>
      </c>
      <c r="I35" s="24" t="s">
        <v>263</v>
      </c>
      <c r="J35" s="24"/>
      <c r="K35" s="5"/>
      <c r="L35" s="5"/>
      <c r="M35" s="5"/>
      <c r="N35" s="5"/>
      <c r="O35" s="5"/>
      <c r="P35" s="5"/>
      <c r="Q35" s="5"/>
      <c r="R35" s="5"/>
      <c r="S35" s="5"/>
      <c r="T35" s="5"/>
      <c r="U35" s="5"/>
      <c r="V35" s="5"/>
      <c r="W35" s="5"/>
      <c r="X35" s="5"/>
      <c r="Y35" s="5"/>
      <c r="Z35" s="5"/>
    </row>
    <row r="36" spans="1:26" ht="15">
      <c r="A36" s="28" t="s">
        <v>57</v>
      </c>
      <c r="B36" s="36">
        <v>34.229999999999997</v>
      </c>
      <c r="C36" s="36">
        <v>33.340000000000003</v>
      </c>
      <c r="D36" s="36">
        <v>29.25</v>
      </c>
      <c r="E36" s="36">
        <v>32.51</v>
      </c>
      <c r="F36" s="36">
        <v>33.950000000000003</v>
      </c>
      <c r="G36" s="36">
        <v>34.96</v>
      </c>
      <c r="H36" s="36">
        <v>1.01</v>
      </c>
      <c r="I36" s="28" t="s">
        <v>263</v>
      </c>
      <c r="J36" s="28" t="s">
        <v>278</v>
      </c>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mergeCells count="4">
    <mergeCell ref="A1:J1"/>
    <mergeCell ref="A2:J2"/>
    <mergeCell ref="A4:J4"/>
    <mergeCell ref="A22:J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200"/>
  <sheetViews>
    <sheetView workbookViewId="0">
      <selection activeCell="B13" sqref="B13"/>
    </sheetView>
  </sheetViews>
  <sheetFormatPr defaultRowHeight="14.25"/>
  <cols>
    <col min="1" max="1" width="20" customWidth="1"/>
    <col min="2" max="2" width="14" customWidth="1"/>
    <col min="3" max="3" width="18" customWidth="1"/>
    <col min="4" max="9" width="13" customWidth="1"/>
    <col min="10" max="10" width="15" customWidth="1"/>
  </cols>
  <sheetData>
    <row r="1" spans="1:26" ht="27.95" customHeight="1">
      <c r="A1" s="138" t="s">
        <v>279</v>
      </c>
      <c r="B1" s="138"/>
      <c r="C1" s="138"/>
      <c r="D1" s="138"/>
      <c r="E1" s="138"/>
      <c r="F1" s="138"/>
      <c r="G1" s="138"/>
      <c r="H1" s="138"/>
      <c r="I1" s="138"/>
      <c r="J1" s="138"/>
      <c r="K1" s="5"/>
      <c r="L1" s="5"/>
      <c r="M1" s="5"/>
      <c r="N1" s="5"/>
      <c r="O1" s="5"/>
      <c r="P1" s="5"/>
      <c r="Q1" s="5"/>
      <c r="R1" s="5"/>
      <c r="S1" s="5"/>
      <c r="T1" s="5"/>
      <c r="U1" s="5"/>
      <c r="V1" s="5"/>
      <c r="W1" s="5"/>
      <c r="X1" s="5"/>
      <c r="Y1" s="5"/>
      <c r="Z1" s="5"/>
    </row>
    <row r="2" spans="1:26" ht="32.1" customHeight="1">
      <c r="A2" s="139" t="s">
        <v>280</v>
      </c>
      <c r="B2" s="139"/>
      <c r="C2" s="139"/>
      <c r="D2" s="139"/>
      <c r="E2" s="139"/>
      <c r="F2" s="139"/>
      <c r="G2" s="139"/>
      <c r="H2" s="139"/>
      <c r="I2" s="139"/>
      <c r="J2" s="139"/>
      <c r="K2" s="5"/>
      <c r="L2" s="5"/>
      <c r="M2" s="5"/>
      <c r="N2" s="5"/>
      <c r="O2" s="5"/>
      <c r="P2" s="5"/>
      <c r="Q2" s="5"/>
      <c r="R2" s="5"/>
      <c r="S2" s="5"/>
      <c r="T2" s="5"/>
      <c r="U2" s="5"/>
      <c r="V2" s="5"/>
      <c r="W2" s="5"/>
      <c r="X2" s="5"/>
      <c r="Y2" s="5"/>
      <c r="Z2" s="5"/>
    </row>
    <row r="3" spans="1:26">
      <c r="A3" s="5"/>
      <c r="B3" s="5"/>
      <c r="C3" s="5"/>
      <c r="D3" s="5"/>
      <c r="E3" s="5"/>
      <c r="F3" s="5"/>
      <c r="G3" s="5"/>
      <c r="H3" s="5"/>
      <c r="I3" s="5"/>
      <c r="J3" s="5"/>
      <c r="K3" s="5"/>
      <c r="L3" s="5"/>
      <c r="M3" s="5"/>
      <c r="N3" s="5"/>
      <c r="O3" s="5"/>
      <c r="P3" s="5"/>
      <c r="Q3" s="5"/>
      <c r="R3" s="5"/>
      <c r="S3" s="5"/>
      <c r="T3" s="5"/>
      <c r="U3" s="5"/>
      <c r="V3" s="5"/>
      <c r="W3" s="5"/>
      <c r="X3" s="5"/>
      <c r="Y3" s="5"/>
      <c r="Z3" s="5"/>
    </row>
    <row r="4" spans="1:26" ht="15">
      <c r="A4" s="1" t="s">
        <v>281</v>
      </c>
      <c r="B4" s="1" t="s">
        <v>57</v>
      </c>
      <c r="C4" s="1" t="s">
        <v>150</v>
      </c>
      <c r="D4" s="2"/>
      <c r="E4" s="2"/>
      <c r="F4" s="2"/>
      <c r="G4" s="2"/>
      <c r="H4" s="2"/>
      <c r="I4" s="2"/>
      <c r="J4" s="2"/>
      <c r="K4" s="5"/>
      <c r="L4" s="5"/>
      <c r="M4" s="5"/>
      <c r="N4" s="5"/>
      <c r="O4" s="5"/>
      <c r="P4" s="5"/>
      <c r="Q4" s="5"/>
      <c r="R4" s="5"/>
      <c r="S4" s="5"/>
      <c r="T4" s="5"/>
      <c r="U4" s="5"/>
      <c r="V4" s="5"/>
      <c r="W4" s="5"/>
      <c r="X4" s="5"/>
      <c r="Y4" s="5"/>
      <c r="Z4" s="5"/>
    </row>
    <row r="5" spans="1:26">
      <c r="A5" s="5" t="s">
        <v>282</v>
      </c>
      <c r="B5" s="34">
        <v>33.68</v>
      </c>
      <c r="C5" s="34" t="s">
        <v>283</v>
      </c>
      <c r="D5" s="34"/>
      <c r="E5" s="34"/>
      <c r="F5" s="34"/>
      <c r="G5" s="34"/>
      <c r="H5" s="34"/>
      <c r="I5" s="34"/>
      <c r="J5" s="10"/>
      <c r="K5" s="5"/>
      <c r="L5" s="5"/>
      <c r="M5" s="5"/>
      <c r="N5" s="5"/>
      <c r="O5" s="5"/>
      <c r="P5" s="5"/>
      <c r="Q5" s="5"/>
      <c r="R5" s="5"/>
      <c r="S5" s="5"/>
      <c r="T5" s="5"/>
      <c r="U5" s="5"/>
      <c r="V5" s="5"/>
      <c r="W5" s="5"/>
      <c r="X5" s="5"/>
      <c r="Y5" s="5"/>
      <c r="Z5" s="5"/>
    </row>
    <row r="6" spans="1:26">
      <c r="A6" s="5" t="s">
        <v>284</v>
      </c>
      <c r="B6" s="34">
        <v>35.78</v>
      </c>
      <c r="C6" s="5" t="s">
        <v>283</v>
      </c>
      <c r="D6" s="5"/>
      <c r="E6" s="5"/>
      <c r="F6" s="5"/>
      <c r="G6" s="5"/>
      <c r="H6" s="5"/>
      <c r="I6" s="5"/>
      <c r="J6" s="5"/>
      <c r="K6" s="5"/>
      <c r="L6" s="5"/>
      <c r="M6" s="5"/>
      <c r="N6" s="5"/>
      <c r="O6" s="5"/>
      <c r="P6" s="5"/>
      <c r="Q6" s="5"/>
      <c r="R6" s="5"/>
      <c r="S6" s="5"/>
      <c r="T6" s="5"/>
      <c r="U6" s="5"/>
      <c r="V6" s="5"/>
      <c r="W6" s="5"/>
      <c r="X6" s="5"/>
      <c r="Y6" s="5"/>
      <c r="Z6" s="5"/>
    </row>
    <row r="7" spans="1:26">
      <c r="A7" s="5" t="s">
        <v>285</v>
      </c>
      <c r="B7" s="34">
        <v>35.409999999999997</v>
      </c>
      <c r="C7" s="5" t="s">
        <v>283</v>
      </c>
      <c r="D7" s="5"/>
      <c r="E7" s="5"/>
      <c r="F7" s="5"/>
      <c r="G7" s="5"/>
      <c r="H7" s="5"/>
      <c r="I7" s="5"/>
      <c r="J7" s="5"/>
      <c r="K7" s="5"/>
      <c r="L7" s="5"/>
      <c r="M7" s="5"/>
      <c r="N7" s="5"/>
      <c r="O7" s="5"/>
      <c r="P7" s="5"/>
      <c r="Q7" s="5"/>
      <c r="R7" s="5"/>
      <c r="S7" s="5"/>
      <c r="T7" s="5"/>
      <c r="U7" s="5"/>
      <c r="V7" s="5"/>
      <c r="W7" s="5"/>
      <c r="X7" s="5"/>
      <c r="Y7" s="5"/>
      <c r="Z7" s="5"/>
    </row>
    <row r="8" spans="1:26">
      <c r="A8" s="5" t="s">
        <v>240</v>
      </c>
      <c r="B8" s="34">
        <v>34.229999999999997</v>
      </c>
      <c r="C8" s="5" t="s">
        <v>283</v>
      </c>
      <c r="D8" s="5"/>
      <c r="E8" s="5"/>
      <c r="F8" s="5"/>
      <c r="G8" s="5"/>
      <c r="H8" s="5"/>
      <c r="I8" s="5"/>
      <c r="J8" s="5"/>
      <c r="K8" s="5"/>
      <c r="L8" s="5"/>
      <c r="M8" s="5"/>
      <c r="N8" s="5"/>
      <c r="O8" s="5"/>
      <c r="P8" s="5"/>
      <c r="Q8" s="5"/>
      <c r="R8" s="5"/>
      <c r="S8" s="5"/>
      <c r="T8" s="5"/>
      <c r="U8" s="5"/>
      <c r="V8" s="5"/>
      <c r="W8" s="5"/>
      <c r="X8" s="5"/>
      <c r="Y8" s="5"/>
      <c r="Z8" s="5"/>
    </row>
    <row r="9" spans="1:26">
      <c r="A9" s="5" t="s">
        <v>241</v>
      </c>
      <c r="B9" s="34">
        <v>33.340000000000003</v>
      </c>
      <c r="C9" s="5" t="s">
        <v>283</v>
      </c>
      <c r="D9" s="5"/>
      <c r="E9" s="5"/>
      <c r="F9" s="5"/>
      <c r="G9" s="5"/>
      <c r="H9" s="5"/>
      <c r="I9" s="5"/>
      <c r="J9" s="5"/>
      <c r="K9" s="5"/>
      <c r="L9" s="5"/>
      <c r="M9" s="5"/>
      <c r="N9" s="5"/>
      <c r="O9" s="5"/>
      <c r="P9" s="5"/>
      <c r="Q9" s="5"/>
      <c r="R9" s="5"/>
      <c r="S9" s="5"/>
      <c r="T9" s="5"/>
      <c r="U9" s="5"/>
      <c r="V9" s="5"/>
      <c r="W9" s="5"/>
      <c r="X9" s="5"/>
      <c r="Y9" s="5"/>
      <c r="Z9" s="5"/>
    </row>
    <row r="10" spans="1:26">
      <c r="A10" s="5" t="s">
        <v>242</v>
      </c>
      <c r="B10" s="34">
        <v>29.25</v>
      </c>
      <c r="C10" s="5" t="s">
        <v>283</v>
      </c>
      <c r="D10" s="5"/>
      <c r="E10" s="5"/>
      <c r="F10" s="5"/>
      <c r="G10" s="5"/>
      <c r="H10" s="5"/>
      <c r="I10" s="5"/>
      <c r="J10" s="5"/>
      <c r="K10" s="5"/>
      <c r="L10" s="5"/>
      <c r="M10" s="5"/>
      <c r="N10" s="5"/>
      <c r="O10" s="5"/>
      <c r="P10" s="5"/>
      <c r="Q10" s="5"/>
      <c r="R10" s="5"/>
      <c r="S10" s="5"/>
      <c r="T10" s="5"/>
      <c r="U10" s="5"/>
      <c r="V10" s="5"/>
      <c r="W10" s="5"/>
      <c r="X10" s="5"/>
      <c r="Y10" s="5"/>
      <c r="Z10" s="5"/>
    </row>
    <row r="11" spans="1:26">
      <c r="A11" s="5" t="s">
        <v>286</v>
      </c>
      <c r="B11" s="34">
        <v>33.950000000000003</v>
      </c>
      <c r="C11" s="5" t="s">
        <v>283</v>
      </c>
      <c r="D11" s="5"/>
      <c r="E11" s="5"/>
      <c r="F11" s="5"/>
      <c r="G11" s="5"/>
      <c r="H11" s="5"/>
      <c r="I11" s="5"/>
      <c r="J11" s="5"/>
      <c r="K11" s="5"/>
      <c r="L11" s="5"/>
      <c r="M11" s="5"/>
      <c r="N11" s="5"/>
      <c r="O11" s="5"/>
      <c r="P11" s="5"/>
      <c r="Q11" s="5"/>
      <c r="R11" s="5"/>
      <c r="S11" s="5"/>
      <c r="T11" s="5"/>
      <c r="U11" s="5"/>
      <c r="V11" s="5"/>
      <c r="W11" s="5"/>
      <c r="X11" s="5"/>
      <c r="Y11" s="5"/>
      <c r="Z11" s="5"/>
    </row>
    <row r="12" spans="1:26">
      <c r="A12" s="5" t="s">
        <v>245</v>
      </c>
      <c r="B12" s="34">
        <v>34.96</v>
      </c>
      <c r="C12" s="5" t="s">
        <v>283</v>
      </c>
      <c r="D12" s="5"/>
      <c r="E12" s="5"/>
      <c r="F12" s="5"/>
      <c r="G12" s="5"/>
      <c r="H12" s="5"/>
      <c r="I12" s="5"/>
      <c r="J12" s="5"/>
      <c r="K12" s="5"/>
      <c r="L12" s="5"/>
      <c r="M12" s="5"/>
      <c r="N12" s="5"/>
      <c r="O12" s="5"/>
      <c r="P12" s="5"/>
      <c r="Q12" s="5"/>
      <c r="R12" s="5"/>
      <c r="S12" s="5"/>
      <c r="T12" s="5"/>
      <c r="U12" s="5"/>
      <c r="V12" s="5"/>
      <c r="W12" s="5"/>
      <c r="X12" s="5"/>
      <c r="Y12" s="5"/>
      <c r="Z12" s="5"/>
    </row>
    <row r="13" spans="1:26">
      <c r="A13" s="5" t="s">
        <v>53</v>
      </c>
      <c r="B13" s="10">
        <f>'Staffing Plan'!C38</f>
        <v>35.510000000000005</v>
      </c>
      <c r="C13" s="5" t="s">
        <v>99</v>
      </c>
      <c r="D13" s="5"/>
      <c r="E13" s="5"/>
      <c r="F13" s="5"/>
      <c r="G13" s="5"/>
      <c r="H13" s="5"/>
      <c r="I13" s="5"/>
      <c r="J13" s="5"/>
      <c r="K13" s="5"/>
      <c r="L13" s="5"/>
      <c r="M13" s="5"/>
      <c r="N13" s="5"/>
      <c r="O13" s="5"/>
      <c r="P13" s="5"/>
      <c r="Q13" s="5"/>
      <c r="R13" s="5"/>
      <c r="S13" s="5"/>
      <c r="T13" s="5"/>
      <c r="U13" s="5"/>
      <c r="V13" s="5"/>
      <c r="W13" s="5"/>
      <c r="X13" s="5"/>
      <c r="Y13" s="5"/>
      <c r="Z13" s="5"/>
    </row>
    <row r="14" spans="1:26">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mergeCells count="2">
    <mergeCell ref="A1:J1"/>
    <mergeCell ref="A2:J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204"/>
  <sheetViews>
    <sheetView topLeftCell="A8" workbookViewId="0">
      <selection activeCell="D36" sqref="D36"/>
    </sheetView>
  </sheetViews>
  <sheetFormatPr defaultRowHeight="14.25"/>
  <cols>
    <col min="1" max="1" width="31" customWidth="1"/>
    <col min="2" max="2" width="34" customWidth="1"/>
    <col min="3" max="3" width="20.375" customWidth="1"/>
    <col min="4" max="4" width="24" customWidth="1"/>
    <col min="5" max="5" width="12" customWidth="1"/>
    <col min="6" max="6" width="11" customWidth="1"/>
    <col min="7" max="7" width="28" customWidth="1"/>
    <col min="8" max="8" width="48" customWidth="1"/>
  </cols>
  <sheetData>
    <row r="1" spans="1:27" ht="27.95" customHeight="1">
      <c r="A1" s="138" t="s">
        <v>287</v>
      </c>
      <c r="B1" s="138"/>
      <c r="C1" s="138"/>
      <c r="D1" s="138"/>
      <c r="E1" s="138"/>
      <c r="F1" s="138"/>
      <c r="G1" s="138"/>
      <c r="H1" s="138"/>
      <c r="I1" s="5"/>
      <c r="J1" s="5"/>
      <c r="K1" s="5"/>
      <c r="L1" s="5"/>
      <c r="M1" s="5"/>
      <c r="N1" s="5"/>
      <c r="O1" s="5"/>
      <c r="P1" s="5"/>
      <c r="Q1" s="5"/>
      <c r="R1" s="5"/>
      <c r="S1" s="5"/>
      <c r="T1" s="5"/>
      <c r="U1" s="5"/>
      <c r="V1" s="5"/>
      <c r="W1" s="5"/>
      <c r="X1" s="5"/>
      <c r="Y1" s="5"/>
      <c r="Z1" s="5"/>
      <c r="AA1" s="5"/>
    </row>
    <row r="2" spans="1:27" ht="32.1" customHeight="1">
      <c r="A2" s="139" t="s">
        <v>288</v>
      </c>
      <c r="B2" s="139"/>
      <c r="C2" s="139"/>
      <c r="D2" s="139"/>
      <c r="E2" s="139"/>
      <c r="F2" s="139"/>
      <c r="G2" s="139"/>
      <c r="H2" s="139"/>
      <c r="I2" s="5"/>
      <c r="J2" s="5"/>
      <c r="K2" s="5"/>
      <c r="L2" s="5"/>
      <c r="M2" s="5"/>
      <c r="N2" s="5"/>
      <c r="O2" s="5"/>
      <c r="P2" s="5"/>
      <c r="Q2" s="5"/>
      <c r="R2" s="5"/>
      <c r="S2" s="5"/>
      <c r="T2" s="5"/>
      <c r="U2" s="5"/>
      <c r="V2" s="5"/>
      <c r="W2" s="5"/>
      <c r="X2" s="5"/>
      <c r="Y2" s="5"/>
      <c r="Z2" s="5"/>
      <c r="AA2" s="5"/>
    </row>
    <row r="3" spans="1:27">
      <c r="A3" s="5"/>
      <c r="B3" s="5"/>
      <c r="C3" s="5"/>
      <c r="D3" s="5"/>
      <c r="E3" s="5"/>
      <c r="F3" s="5"/>
      <c r="G3" s="5"/>
      <c r="H3" s="5"/>
      <c r="I3" s="5"/>
      <c r="J3" s="5"/>
      <c r="K3" s="5"/>
      <c r="L3" s="5"/>
      <c r="M3" s="5"/>
      <c r="N3" s="5"/>
      <c r="O3" s="5"/>
      <c r="P3" s="5"/>
      <c r="Q3" s="5"/>
      <c r="R3" s="5"/>
      <c r="S3" s="5"/>
      <c r="T3" s="5"/>
      <c r="U3" s="5"/>
      <c r="V3" s="5"/>
      <c r="W3" s="5"/>
      <c r="X3" s="5"/>
      <c r="Y3" s="5"/>
      <c r="Z3" s="5"/>
      <c r="AA3" s="5"/>
    </row>
    <row r="4" spans="1:27" ht="30">
      <c r="A4" s="2" t="s">
        <v>289</v>
      </c>
      <c r="B4" s="2" t="s">
        <v>290</v>
      </c>
      <c r="C4" s="2" t="s">
        <v>291</v>
      </c>
      <c r="D4" s="2" t="s">
        <v>292</v>
      </c>
      <c r="E4" s="2" t="s">
        <v>150</v>
      </c>
      <c r="F4" s="2" t="s">
        <v>293</v>
      </c>
      <c r="G4" s="2" t="s">
        <v>294</v>
      </c>
      <c r="H4" s="2" t="s">
        <v>66</v>
      </c>
      <c r="I4" s="5"/>
      <c r="J4" s="5"/>
      <c r="K4" s="5"/>
      <c r="L4" s="5"/>
      <c r="M4" s="5"/>
      <c r="N4" s="5"/>
      <c r="O4" s="5"/>
      <c r="P4" s="5"/>
      <c r="Q4" s="5"/>
      <c r="R4" s="5"/>
      <c r="S4" s="5"/>
      <c r="T4" s="5"/>
      <c r="U4" s="5"/>
      <c r="V4" s="5"/>
      <c r="W4" s="5"/>
      <c r="X4" s="5"/>
      <c r="Y4" s="5"/>
      <c r="Z4" s="5"/>
      <c r="AA4" s="5"/>
    </row>
    <row r="5" spans="1:27" ht="28.5">
      <c r="A5" s="3" t="s">
        <v>295</v>
      </c>
      <c r="B5" s="3" t="s">
        <v>296</v>
      </c>
      <c r="C5" s="105">
        <f>SolEl_CS!J9/7</f>
        <v>41.428571428571431</v>
      </c>
      <c r="D5" s="37">
        <f>ROUND(C5/22.5, 0)</f>
        <v>2</v>
      </c>
      <c r="E5" s="3" t="s">
        <v>297</v>
      </c>
      <c r="F5" s="3" t="s">
        <v>298</v>
      </c>
      <c r="G5" s="3" t="s">
        <v>1075</v>
      </c>
      <c r="H5" s="3" t="s">
        <v>299</v>
      </c>
      <c r="I5" s="5"/>
      <c r="J5" s="5"/>
      <c r="K5" s="5"/>
      <c r="L5" s="5"/>
      <c r="M5" s="5"/>
      <c r="N5" s="5"/>
      <c r="O5" s="5"/>
      <c r="P5" s="5"/>
      <c r="Q5" s="5"/>
      <c r="R5" s="5"/>
      <c r="S5" s="5"/>
      <c r="T5" s="5"/>
      <c r="U5" s="5"/>
      <c r="V5" s="5"/>
      <c r="W5" s="5"/>
      <c r="X5" s="5"/>
      <c r="Y5" s="5"/>
      <c r="Z5" s="5"/>
      <c r="AA5" s="5"/>
    </row>
    <row r="6" spans="1:27" ht="28.5">
      <c r="A6" s="3" t="s">
        <v>300</v>
      </c>
      <c r="B6" s="3" t="s">
        <v>301</v>
      </c>
      <c r="C6" s="105">
        <f>SolEl_CS!J9/7</f>
        <v>41.428571428571431</v>
      </c>
      <c r="D6" s="37">
        <f t="shared" ref="D6:D8" si="0">ROUND(C6/24.5, 0)</f>
        <v>2</v>
      </c>
      <c r="E6" s="3" t="s">
        <v>297</v>
      </c>
      <c r="F6" s="3" t="s">
        <v>298</v>
      </c>
      <c r="G6" s="3" t="s">
        <v>1075</v>
      </c>
      <c r="H6" s="3" t="s">
        <v>299</v>
      </c>
      <c r="I6" s="5"/>
      <c r="J6" s="5"/>
      <c r="K6" s="5"/>
      <c r="L6" s="5"/>
      <c r="M6" s="5"/>
      <c r="N6" s="5"/>
      <c r="O6" s="5"/>
      <c r="P6" s="5"/>
      <c r="Q6" s="5"/>
      <c r="R6" s="5"/>
      <c r="S6" s="5"/>
      <c r="T6" s="5"/>
      <c r="U6" s="5"/>
      <c r="V6" s="5"/>
      <c r="W6" s="5"/>
      <c r="X6" s="5"/>
      <c r="Y6" s="5"/>
      <c r="Z6" s="5"/>
      <c r="AA6" s="5"/>
    </row>
    <row r="7" spans="1:27" ht="28.5">
      <c r="A7" s="3" t="s">
        <v>302</v>
      </c>
      <c r="B7" s="3" t="s">
        <v>301</v>
      </c>
      <c r="C7" s="105">
        <f>SolEl_CS!J9/7</f>
        <v>41.428571428571431</v>
      </c>
      <c r="D7" s="37">
        <f t="shared" si="0"/>
        <v>2</v>
      </c>
      <c r="E7" s="3" t="s">
        <v>297</v>
      </c>
      <c r="F7" s="3" t="s">
        <v>298</v>
      </c>
      <c r="G7" s="3" t="s">
        <v>1075</v>
      </c>
      <c r="H7" s="3" t="s">
        <v>299</v>
      </c>
      <c r="I7" s="5"/>
      <c r="J7" s="5"/>
      <c r="K7" s="5"/>
      <c r="L7" s="5"/>
      <c r="M7" s="5"/>
      <c r="N7" s="5"/>
      <c r="O7" s="5"/>
      <c r="P7" s="5"/>
      <c r="Q7" s="5"/>
      <c r="R7" s="5"/>
      <c r="S7" s="5"/>
      <c r="T7" s="5"/>
      <c r="U7" s="5"/>
      <c r="V7" s="5"/>
      <c r="W7" s="5"/>
      <c r="X7" s="5"/>
      <c r="Y7" s="5"/>
      <c r="Z7" s="5"/>
      <c r="AA7" s="5"/>
    </row>
    <row r="8" spans="1:27" ht="28.5">
      <c r="A8" s="3" t="s">
        <v>303</v>
      </c>
      <c r="B8" s="3" t="s">
        <v>301</v>
      </c>
      <c r="C8" s="105">
        <f>SolEl_CS!J9/7</f>
        <v>41.428571428571431</v>
      </c>
      <c r="D8" s="37">
        <f t="shared" si="0"/>
        <v>2</v>
      </c>
      <c r="E8" s="3" t="s">
        <v>297</v>
      </c>
      <c r="F8" s="3" t="s">
        <v>298</v>
      </c>
      <c r="G8" s="3" t="s">
        <v>1075</v>
      </c>
      <c r="H8" s="3" t="s">
        <v>299</v>
      </c>
      <c r="I8" s="5"/>
      <c r="J8" s="5"/>
      <c r="K8" s="5"/>
      <c r="L8" s="5"/>
      <c r="M8" s="5"/>
      <c r="N8" s="5"/>
      <c r="O8" s="5"/>
      <c r="P8" s="5"/>
      <c r="Q8" s="5"/>
      <c r="R8" s="5"/>
      <c r="S8" s="5"/>
      <c r="T8" s="5"/>
      <c r="U8" s="5"/>
      <c r="V8" s="5"/>
      <c r="W8" s="5"/>
      <c r="X8" s="5"/>
      <c r="Y8" s="5"/>
      <c r="Z8" s="5"/>
      <c r="AA8" s="5"/>
    </row>
    <row r="9" spans="1:27" ht="28.5">
      <c r="A9" s="3" t="s">
        <v>304</v>
      </c>
      <c r="B9" s="3" t="s">
        <v>305</v>
      </c>
      <c r="C9" s="105">
        <f>SolEl_CS!J9/7</f>
        <v>41.428571428571431</v>
      </c>
      <c r="D9" s="37">
        <f t="shared" ref="D9:D10" si="1">ROUND(C9/26.5, 0)</f>
        <v>2</v>
      </c>
      <c r="E9" s="3" t="s">
        <v>297</v>
      </c>
      <c r="F9" s="3" t="s">
        <v>298</v>
      </c>
      <c r="G9" s="3" t="s">
        <v>1075</v>
      </c>
      <c r="H9" s="3" t="s">
        <v>299</v>
      </c>
      <c r="I9" s="5"/>
      <c r="J9" s="5"/>
      <c r="K9" s="5"/>
      <c r="L9" s="5"/>
      <c r="M9" s="5"/>
      <c r="N9" s="5"/>
      <c r="O9" s="5"/>
      <c r="P9" s="5"/>
      <c r="Q9" s="5"/>
      <c r="R9" s="5"/>
      <c r="S9" s="5"/>
      <c r="T9" s="5"/>
      <c r="U9" s="5"/>
      <c r="V9" s="5"/>
      <c r="W9" s="5"/>
      <c r="X9" s="5"/>
      <c r="Y9" s="5"/>
      <c r="Z9" s="5"/>
      <c r="AA9" s="5"/>
    </row>
    <row r="10" spans="1:27" ht="28.5">
      <c r="A10" s="3" t="s">
        <v>306</v>
      </c>
      <c r="B10" s="3" t="s">
        <v>305</v>
      </c>
      <c r="C10" s="105">
        <f>SolEl_CS!J9/7</f>
        <v>41.428571428571431</v>
      </c>
      <c r="D10" s="37">
        <f t="shared" si="1"/>
        <v>2</v>
      </c>
      <c r="E10" s="3" t="s">
        <v>297</v>
      </c>
      <c r="F10" s="3" t="s">
        <v>298</v>
      </c>
      <c r="G10" s="3" t="s">
        <v>1076</v>
      </c>
      <c r="H10" s="3" t="s">
        <v>299</v>
      </c>
      <c r="I10" s="5"/>
      <c r="J10" s="5"/>
      <c r="K10" s="5"/>
      <c r="L10" s="5"/>
      <c r="M10" s="5"/>
      <c r="N10" s="5"/>
      <c r="O10" s="5"/>
      <c r="P10" s="5"/>
      <c r="Q10" s="5"/>
      <c r="R10" s="5"/>
      <c r="S10" s="5"/>
      <c r="T10" s="5"/>
      <c r="U10" s="5"/>
      <c r="V10" s="5"/>
      <c r="W10" s="5"/>
      <c r="X10" s="5"/>
      <c r="Y10" s="5"/>
      <c r="Z10" s="5"/>
      <c r="AA10" s="5"/>
    </row>
    <row r="11" spans="1:27" ht="28.5">
      <c r="A11" s="3" t="s">
        <v>307</v>
      </c>
      <c r="B11" s="3" t="s">
        <v>305</v>
      </c>
      <c r="C11" s="105">
        <f>SolEl_CS!J9/7</f>
        <v>41.428571428571431</v>
      </c>
      <c r="D11" s="37">
        <f>ROUND(C11/26.5, 0)</f>
        <v>2</v>
      </c>
      <c r="E11" s="3" t="s">
        <v>297</v>
      </c>
      <c r="F11" s="3" t="s">
        <v>298</v>
      </c>
      <c r="G11" s="3" t="s">
        <v>1076</v>
      </c>
      <c r="H11" s="3" t="s">
        <v>299</v>
      </c>
      <c r="I11" s="5"/>
      <c r="J11" s="5"/>
      <c r="K11" s="5"/>
      <c r="L11" s="5"/>
      <c r="M11" s="5"/>
      <c r="N11" s="5"/>
      <c r="O11" s="5"/>
      <c r="P11" s="5"/>
      <c r="Q11" s="5"/>
      <c r="R11" s="5"/>
      <c r="S11" s="5"/>
      <c r="T11" s="5"/>
      <c r="U11" s="5"/>
      <c r="V11" s="5"/>
      <c r="W11" s="5"/>
      <c r="X11" s="5"/>
      <c r="Y11" s="5"/>
      <c r="Z11" s="5"/>
      <c r="AA11" s="5"/>
    </row>
    <row r="12" spans="1:27" ht="42.75">
      <c r="A12" s="3" t="s">
        <v>308</v>
      </c>
      <c r="B12" s="3" t="s">
        <v>309</v>
      </c>
      <c r="C12" s="3">
        <f>SolEl_CS!J9</f>
        <v>290</v>
      </c>
      <c r="D12" s="37">
        <v>2</v>
      </c>
      <c r="E12" s="3" t="s">
        <v>297</v>
      </c>
      <c r="F12" s="3" t="s">
        <v>298</v>
      </c>
      <c r="G12" s="3" t="s">
        <v>310</v>
      </c>
      <c r="H12" s="3" t="s">
        <v>311</v>
      </c>
      <c r="I12" s="5"/>
      <c r="J12" s="5"/>
      <c r="K12" s="5"/>
      <c r="L12" s="5"/>
      <c r="M12" s="5"/>
      <c r="N12" s="5"/>
      <c r="O12" s="5"/>
      <c r="P12" s="5"/>
      <c r="Q12" s="5"/>
      <c r="R12" s="5"/>
      <c r="S12" s="5"/>
      <c r="T12" s="5"/>
      <c r="U12" s="5"/>
      <c r="V12" s="5"/>
      <c r="W12" s="5"/>
      <c r="X12" s="5"/>
      <c r="Y12" s="5"/>
      <c r="Z12" s="5"/>
      <c r="AA12" s="5"/>
    </row>
    <row r="13" spans="1:27">
      <c r="A13" s="3" t="s">
        <v>312</v>
      </c>
      <c r="B13" s="3" t="s">
        <v>313</v>
      </c>
      <c r="C13" s="3">
        <f>SolEl_CS!J9</f>
        <v>290</v>
      </c>
      <c r="D13" s="37">
        <v>0.5</v>
      </c>
      <c r="E13" s="3" t="s">
        <v>297</v>
      </c>
      <c r="F13" s="3" t="s">
        <v>298</v>
      </c>
      <c r="G13" s="3" t="s">
        <v>314</v>
      </c>
      <c r="H13" s="3" t="s">
        <v>315</v>
      </c>
      <c r="I13" s="5"/>
      <c r="J13" s="5"/>
      <c r="K13" s="5"/>
      <c r="L13" s="5"/>
      <c r="M13" s="5"/>
      <c r="N13" s="5"/>
      <c r="O13" s="5"/>
      <c r="P13" s="5"/>
      <c r="Q13" s="5"/>
      <c r="R13" s="5"/>
      <c r="S13" s="5"/>
      <c r="T13" s="5"/>
      <c r="U13" s="5"/>
      <c r="V13" s="5"/>
      <c r="W13" s="5"/>
      <c r="X13" s="5"/>
      <c r="Y13" s="5"/>
      <c r="Z13" s="5"/>
      <c r="AA13" s="5"/>
    </row>
    <row r="14" spans="1:27">
      <c r="A14" s="3" t="s">
        <v>316</v>
      </c>
      <c r="B14" s="3" t="s">
        <v>317</v>
      </c>
      <c r="C14" s="3">
        <f>SolEl_CS!J9</f>
        <v>290</v>
      </c>
      <c r="D14" s="37">
        <f>290/275</f>
        <v>1.0545454545454545</v>
      </c>
      <c r="E14" s="3" t="s">
        <v>297</v>
      </c>
      <c r="F14" s="3" t="s">
        <v>318</v>
      </c>
      <c r="G14" s="3" t="s">
        <v>319</v>
      </c>
      <c r="H14" s="3" t="s">
        <v>320</v>
      </c>
      <c r="I14" s="5"/>
      <c r="J14" s="5"/>
      <c r="K14" s="5"/>
      <c r="L14" s="5"/>
      <c r="M14" s="5"/>
      <c r="N14" s="5"/>
      <c r="O14" s="5"/>
      <c r="P14" s="5"/>
      <c r="Q14" s="5"/>
      <c r="R14" s="5"/>
      <c r="S14" s="5"/>
      <c r="T14" s="5"/>
      <c r="U14" s="5"/>
      <c r="V14" s="5"/>
      <c r="W14" s="5"/>
      <c r="X14" s="5"/>
      <c r="Y14" s="5"/>
      <c r="Z14" s="5"/>
      <c r="AA14" s="5"/>
    </row>
    <row r="15" spans="1:27">
      <c r="A15" s="3" t="s">
        <v>321</v>
      </c>
      <c r="B15" s="3" t="s">
        <v>322</v>
      </c>
      <c r="C15" s="3">
        <f>SolEl_CS!J9</f>
        <v>290</v>
      </c>
      <c r="D15" s="37">
        <v>0.44</v>
      </c>
      <c r="E15" s="3" t="s">
        <v>297</v>
      </c>
      <c r="F15" s="3" t="s">
        <v>318</v>
      </c>
      <c r="G15" s="3" t="s">
        <v>323</v>
      </c>
      <c r="H15" s="3" t="s">
        <v>324</v>
      </c>
      <c r="I15" s="5"/>
      <c r="J15" s="5"/>
      <c r="K15" s="5"/>
      <c r="L15" s="5"/>
      <c r="M15" s="5"/>
      <c r="N15" s="5"/>
      <c r="O15" s="5"/>
      <c r="P15" s="5"/>
      <c r="Q15" s="5"/>
      <c r="R15" s="5"/>
      <c r="S15" s="5"/>
      <c r="T15" s="5"/>
      <c r="U15" s="5"/>
      <c r="V15" s="5"/>
      <c r="W15" s="5"/>
      <c r="X15" s="5"/>
      <c r="Y15" s="5"/>
      <c r="Z15" s="5"/>
      <c r="AA15" s="5"/>
    </row>
    <row r="16" spans="1:27" ht="42.75">
      <c r="A16" s="3" t="s">
        <v>276</v>
      </c>
      <c r="B16" s="3" t="s">
        <v>325</v>
      </c>
      <c r="C16" s="3">
        <f>SolEl_CS!J9</f>
        <v>290</v>
      </c>
      <c r="D16" s="37">
        <v>3.5</v>
      </c>
      <c r="E16" s="3" t="s">
        <v>326</v>
      </c>
      <c r="F16" s="3" t="s">
        <v>327</v>
      </c>
      <c r="G16" s="3" t="s">
        <v>328</v>
      </c>
      <c r="H16" s="3" t="s">
        <v>329</v>
      </c>
      <c r="I16" s="5"/>
      <c r="J16" s="5"/>
      <c r="K16" s="5"/>
      <c r="L16" s="5"/>
      <c r="M16" s="5"/>
      <c r="N16" s="5"/>
      <c r="O16" s="5"/>
      <c r="P16" s="5"/>
      <c r="Q16" s="5"/>
      <c r="R16" s="5"/>
      <c r="S16" s="5"/>
      <c r="T16" s="5"/>
      <c r="U16" s="5"/>
      <c r="V16" s="5"/>
      <c r="W16" s="5"/>
      <c r="X16" s="5"/>
      <c r="Y16" s="5"/>
      <c r="Z16" s="5"/>
      <c r="AA16" s="5"/>
    </row>
    <row r="17" spans="1:27">
      <c r="A17" s="5"/>
      <c r="B17" s="5"/>
      <c r="C17" s="5"/>
      <c r="D17" s="5"/>
      <c r="E17" s="5"/>
      <c r="F17" s="5"/>
      <c r="G17" s="5"/>
      <c r="H17" s="5"/>
      <c r="I17" s="5"/>
      <c r="J17" s="5"/>
      <c r="K17" s="5"/>
      <c r="L17" s="5"/>
      <c r="M17" s="5"/>
      <c r="N17" s="5"/>
      <c r="O17" s="5"/>
      <c r="P17" s="5"/>
      <c r="Q17" s="5"/>
      <c r="R17" s="5"/>
      <c r="S17" s="5"/>
      <c r="T17" s="5"/>
      <c r="U17" s="5"/>
      <c r="V17" s="5"/>
      <c r="W17" s="5"/>
      <c r="X17" s="5"/>
      <c r="Y17" s="5"/>
      <c r="Z17" s="5"/>
      <c r="AA17" s="5"/>
    </row>
    <row r="18" spans="1:27">
      <c r="A18" s="5"/>
      <c r="B18" s="5"/>
      <c r="C18" s="5"/>
      <c r="D18" s="5"/>
      <c r="E18" s="5"/>
      <c r="F18" s="5"/>
      <c r="G18" s="5"/>
      <c r="H18" s="5"/>
      <c r="I18" s="5"/>
      <c r="J18" s="5"/>
      <c r="K18" s="5"/>
      <c r="L18" s="5"/>
      <c r="M18" s="5"/>
      <c r="N18" s="5"/>
      <c r="O18" s="5"/>
      <c r="P18" s="5"/>
      <c r="Q18" s="5"/>
      <c r="R18" s="5"/>
      <c r="S18" s="5"/>
      <c r="T18" s="5"/>
      <c r="U18" s="5"/>
      <c r="V18" s="5"/>
      <c r="W18" s="5"/>
      <c r="X18" s="5"/>
      <c r="Y18" s="5"/>
      <c r="Z18" s="5"/>
      <c r="AA18" s="5"/>
    </row>
    <row r="19" spans="1:27">
      <c r="A19" s="5"/>
      <c r="B19" s="5"/>
      <c r="C19" s="5"/>
      <c r="D19" s="5"/>
      <c r="E19" s="5"/>
      <c r="F19" s="5"/>
      <c r="G19" s="5"/>
      <c r="H19" s="5"/>
      <c r="I19" s="5"/>
      <c r="J19" s="5"/>
      <c r="K19" s="5"/>
      <c r="L19" s="5"/>
      <c r="M19" s="5"/>
      <c r="N19" s="5"/>
      <c r="O19" s="5"/>
      <c r="P19" s="5"/>
      <c r="Q19" s="5"/>
      <c r="R19" s="5"/>
      <c r="S19" s="5"/>
      <c r="T19" s="5"/>
      <c r="U19" s="5"/>
      <c r="V19" s="5"/>
      <c r="W19" s="5"/>
      <c r="X19" s="5"/>
      <c r="Y19" s="5"/>
      <c r="Z19" s="5"/>
      <c r="AA19" s="5"/>
    </row>
    <row r="20" spans="1:27">
      <c r="A20" s="5"/>
      <c r="B20" s="5"/>
      <c r="C20" s="5"/>
      <c r="D20" s="5"/>
      <c r="E20" s="5"/>
      <c r="F20" s="5"/>
      <c r="G20" s="5"/>
      <c r="H20" s="5"/>
      <c r="I20" s="5"/>
      <c r="J20" s="5"/>
      <c r="K20" s="5"/>
      <c r="L20" s="5"/>
      <c r="M20" s="5"/>
      <c r="N20" s="5"/>
      <c r="O20" s="5"/>
      <c r="P20" s="5"/>
      <c r="Q20" s="5"/>
      <c r="R20" s="5"/>
      <c r="S20" s="5"/>
      <c r="T20" s="5"/>
      <c r="U20" s="5"/>
      <c r="V20" s="5"/>
      <c r="W20" s="5"/>
      <c r="X20" s="5"/>
      <c r="Y20" s="5"/>
      <c r="Z20" s="5"/>
      <c r="AA20" s="5"/>
    </row>
    <row r="21" spans="1:27">
      <c r="A21" s="5"/>
      <c r="B21" s="5"/>
      <c r="C21" s="5"/>
      <c r="D21" s="5"/>
      <c r="E21" s="5"/>
      <c r="F21" s="5"/>
      <c r="G21" s="5"/>
      <c r="H21" s="5"/>
      <c r="I21" s="5"/>
      <c r="J21" s="5"/>
      <c r="K21" s="5"/>
      <c r="L21" s="5"/>
      <c r="M21" s="5"/>
      <c r="N21" s="5"/>
      <c r="O21" s="5"/>
      <c r="P21" s="5"/>
      <c r="Q21" s="5"/>
      <c r="R21" s="5"/>
      <c r="S21" s="5"/>
      <c r="T21" s="5"/>
      <c r="U21" s="5"/>
      <c r="V21" s="5"/>
      <c r="W21" s="5"/>
      <c r="X21" s="5"/>
      <c r="Y21" s="5"/>
      <c r="Z21" s="5"/>
      <c r="AA21" s="5"/>
    </row>
    <row r="22" spans="1:27">
      <c r="A22" s="5"/>
      <c r="B22" s="5"/>
      <c r="C22" s="5"/>
      <c r="D22" s="5"/>
      <c r="E22" s="5"/>
      <c r="F22" s="5"/>
      <c r="G22" s="5"/>
      <c r="H22" s="5"/>
      <c r="I22" s="5"/>
      <c r="J22" s="5"/>
      <c r="K22" s="5"/>
      <c r="L22" s="5"/>
      <c r="M22" s="5"/>
      <c r="N22" s="5"/>
      <c r="O22" s="5"/>
      <c r="P22" s="5"/>
      <c r="Q22" s="5"/>
      <c r="R22" s="5"/>
      <c r="S22" s="5"/>
      <c r="T22" s="5"/>
      <c r="U22" s="5"/>
      <c r="V22" s="5"/>
      <c r="W22" s="5"/>
      <c r="X22" s="5"/>
      <c r="Y22" s="5"/>
      <c r="Z22" s="5"/>
      <c r="AA22" s="5"/>
    </row>
    <row r="23" spans="1:27">
      <c r="A23" s="5"/>
      <c r="B23" s="5"/>
      <c r="C23" s="5"/>
      <c r="D23" s="5"/>
      <c r="E23" s="5"/>
      <c r="F23" s="5"/>
      <c r="G23" s="5"/>
      <c r="H23" s="5"/>
      <c r="I23" s="5"/>
      <c r="J23" s="5"/>
      <c r="K23" s="5"/>
      <c r="L23" s="5"/>
      <c r="M23" s="5"/>
      <c r="N23" s="5"/>
      <c r="O23" s="5"/>
      <c r="P23" s="5"/>
      <c r="Q23" s="5"/>
      <c r="R23" s="5"/>
      <c r="S23" s="5"/>
      <c r="T23" s="5"/>
      <c r="U23" s="5"/>
      <c r="V23" s="5"/>
      <c r="W23" s="5"/>
      <c r="X23" s="5"/>
      <c r="Y23" s="5"/>
      <c r="Z23" s="5"/>
      <c r="AA23" s="5"/>
    </row>
    <row r="24" spans="1:27">
      <c r="A24" s="5"/>
      <c r="B24" s="5"/>
      <c r="C24" s="5"/>
      <c r="D24" s="5"/>
      <c r="E24" s="5"/>
      <c r="F24" s="5"/>
      <c r="G24" s="5"/>
      <c r="H24" s="5"/>
      <c r="I24" s="5"/>
      <c r="J24" s="5"/>
      <c r="K24" s="5"/>
      <c r="L24" s="5"/>
      <c r="M24" s="5"/>
      <c r="N24" s="5"/>
      <c r="O24" s="5"/>
      <c r="P24" s="5"/>
      <c r="Q24" s="5"/>
      <c r="R24" s="5"/>
      <c r="S24" s="5"/>
      <c r="T24" s="5"/>
      <c r="U24" s="5"/>
      <c r="V24" s="5"/>
      <c r="W24" s="5"/>
      <c r="X24" s="5"/>
      <c r="Y24" s="5"/>
      <c r="Z24" s="5"/>
      <c r="AA24" s="5"/>
    </row>
    <row r="25" spans="1:27">
      <c r="A25" s="5"/>
      <c r="B25" s="5"/>
      <c r="C25" s="5"/>
      <c r="D25" s="5"/>
      <c r="E25" s="5"/>
      <c r="F25" s="5"/>
      <c r="G25" s="5"/>
      <c r="H25" s="5"/>
      <c r="I25" s="5"/>
      <c r="J25" s="5"/>
      <c r="K25" s="5"/>
      <c r="L25" s="5"/>
      <c r="M25" s="5"/>
      <c r="N25" s="5"/>
      <c r="O25" s="5"/>
      <c r="P25" s="5"/>
      <c r="Q25" s="5"/>
      <c r="R25" s="5"/>
      <c r="S25" s="5"/>
      <c r="T25" s="5"/>
      <c r="U25" s="5"/>
      <c r="V25" s="5"/>
      <c r="W25" s="5"/>
      <c r="X25" s="5"/>
      <c r="Y25" s="5"/>
      <c r="Z25" s="5"/>
      <c r="AA25" s="5"/>
    </row>
    <row r="26" spans="1:27">
      <c r="A26" s="5"/>
      <c r="B26" s="5"/>
      <c r="C26" s="5"/>
      <c r="D26" s="5"/>
      <c r="E26" s="5"/>
      <c r="F26" s="5"/>
      <c r="G26" s="5"/>
      <c r="H26" s="5"/>
      <c r="I26" s="5"/>
      <c r="J26" s="5"/>
      <c r="K26" s="5"/>
      <c r="L26" s="5"/>
      <c r="M26" s="5"/>
      <c r="N26" s="5"/>
      <c r="O26" s="5"/>
      <c r="P26" s="5"/>
      <c r="Q26" s="5"/>
      <c r="R26" s="5"/>
      <c r="S26" s="5"/>
      <c r="T26" s="5"/>
      <c r="U26" s="5"/>
      <c r="V26" s="5"/>
      <c r="W26" s="5"/>
      <c r="X26" s="5"/>
      <c r="Y26" s="5"/>
      <c r="Z26" s="5"/>
      <c r="AA26" s="5"/>
    </row>
    <row r="27" spans="1:27">
      <c r="A27" s="5"/>
      <c r="B27" s="5"/>
      <c r="C27" s="5"/>
      <c r="D27" s="5"/>
      <c r="E27" s="5"/>
      <c r="F27" s="5"/>
      <c r="G27" s="5"/>
      <c r="H27" s="5"/>
      <c r="I27" s="5"/>
      <c r="J27" s="5"/>
      <c r="K27" s="5"/>
      <c r="L27" s="5"/>
      <c r="M27" s="5"/>
      <c r="N27" s="5"/>
      <c r="O27" s="5"/>
      <c r="P27" s="5"/>
      <c r="Q27" s="5"/>
      <c r="R27" s="5"/>
      <c r="S27" s="5"/>
      <c r="T27" s="5"/>
      <c r="U27" s="5"/>
      <c r="V27" s="5"/>
      <c r="W27" s="5"/>
      <c r="X27" s="5"/>
      <c r="Y27" s="5"/>
      <c r="Z27" s="5"/>
      <c r="AA27" s="5"/>
    </row>
    <row r="28" spans="1:27">
      <c r="A28" s="5"/>
      <c r="B28" s="5"/>
      <c r="C28" s="5"/>
      <c r="D28" s="5"/>
      <c r="E28" s="5"/>
      <c r="F28" s="5"/>
      <c r="G28" s="5"/>
      <c r="H28" s="5"/>
      <c r="I28" s="5"/>
      <c r="J28" s="5"/>
      <c r="K28" s="5"/>
      <c r="L28" s="5"/>
      <c r="M28" s="5"/>
      <c r="N28" s="5"/>
      <c r="O28" s="5"/>
      <c r="P28" s="5"/>
      <c r="Q28" s="5"/>
      <c r="R28" s="5"/>
      <c r="S28" s="5"/>
      <c r="T28" s="5"/>
      <c r="U28" s="5"/>
      <c r="V28" s="5"/>
      <c r="W28" s="5"/>
      <c r="X28" s="5"/>
      <c r="Y28" s="5"/>
      <c r="Z28" s="5"/>
      <c r="AA28" s="5"/>
    </row>
    <row r="29" spans="1:27">
      <c r="A29" s="5"/>
      <c r="B29" s="5"/>
      <c r="C29" s="5"/>
      <c r="D29" s="5"/>
      <c r="E29" s="5"/>
      <c r="F29" s="5"/>
      <c r="G29" s="5"/>
      <c r="H29" s="5"/>
      <c r="I29" s="5"/>
      <c r="J29" s="5"/>
      <c r="K29" s="5"/>
      <c r="L29" s="5"/>
      <c r="M29" s="5"/>
      <c r="N29" s="5"/>
      <c r="O29" s="5"/>
      <c r="P29" s="5"/>
      <c r="Q29" s="5"/>
      <c r="R29" s="5"/>
      <c r="S29" s="5"/>
      <c r="T29" s="5"/>
      <c r="U29" s="5"/>
      <c r="V29" s="5"/>
      <c r="W29" s="5"/>
      <c r="X29" s="5"/>
      <c r="Y29" s="5"/>
      <c r="Z29" s="5"/>
      <c r="AA29" s="5"/>
    </row>
    <row r="30" spans="1:27">
      <c r="A30" s="5"/>
      <c r="B30" s="5"/>
      <c r="C30" s="5"/>
      <c r="D30" s="5"/>
      <c r="E30" s="5"/>
      <c r="F30" s="5"/>
      <c r="G30" s="5"/>
      <c r="H30" s="5"/>
      <c r="I30" s="5"/>
      <c r="J30" s="5"/>
      <c r="K30" s="5"/>
      <c r="L30" s="5"/>
      <c r="M30" s="5"/>
      <c r="N30" s="5"/>
      <c r="O30" s="5"/>
      <c r="P30" s="5"/>
      <c r="Q30" s="5"/>
      <c r="R30" s="5"/>
      <c r="S30" s="5"/>
      <c r="T30" s="5"/>
      <c r="U30" s="5"/>
      <c r="V30" s="5"/>
      <c r="W30" s="5"/>
      <c r="X30" s="5"/>
      <c r="Y30" s="5"/>
      <c r="Z30" s="5"/>
      <c r="AA30" s="5"/>
    </row>
    <row r="31" spans="1:27">
      <c r="A31" s="5"/>
      <c r="B31" s="5"/>
      <c r="C31" s="5"/>
      <c r="D31" s="5"/>
      <c r="E31" s="5"/>
      <c r="F31" s="5"/>
      <c r="G31" s="5"/>
      <c r="H31" s="5"/>
      <c r="I31" s="5"/>
      <c r="J31" s="5"/>
      <c r="K31" s="5"/>
      <c r="L31" s="5"/>
      <c r="M31" s="5"/>
      <c r="N31" s="5"/>
      <c r="O31" s="5"/>
      <c r="P31" s="5"/>
      <c r="Q31" s="5"/>
      <c r="R31" s="5"/>
      <c r="S31" s="5"/>
      <c r="T31" s="5"/>
      <c r="U31" s="5"/>
      <c r="V31" s="5"/>
      <c r="W31" s="5"/>
      <c r="X31" s="5"/>
      <c r="Y31" s="5"/>
      <c r="Z31" s="5"/>
      <c r="AA31" s="5"/>
    </row>
    <row r="32" spans="1:27">
      <c r="A32" s="5"/>
      <c r="B32" s="5"/>
      <c r="C32" s="5"/>
      <c r="D32" s="5"/>
      <c r="E32" s="5"/>
      <c r="F32" s="5"/>
      <c r="G32" s="5"/>
      <c r="H32" s="5"/>
      <c r="I32" s="5"/>
      <c r="J32" s="5"/>
      <c r="K32" s="5"/>
      <c r="L32" s="5"/>
      <c r="M32" s="5"/>
      <c r="N32" s="5"/>
      <c r="O32" s="5"/>
      <c r="P32" s="5"/>
      <c r="Q32" s="5"/>
      <c r="R32" s="5"/>
      <c r="S32" s="5"/>
      <c r="T32" s="5"/>
      <c r="U32" s="5"/>
      <c r="V32" s="5"/>
      <c r="W32" s="5"/>
      <c r="X32" s="5"/>
      <c r="Y32" s="5"/>
      <c r="Z32" s="5"/>
      <c r="AA32" s="5"/>
    </row>
    <row r="33" spans="1:27">
      <c r="A33" s="5"/>
      <c r="B33" s="5"/>
      <c r="C33" s="5"/>
      <c r="D33" s="5"/>
      <c r="E33" s="5"/>
      <c r="F33" s="5"/>
      <c r="G33" s="5"/>
      <c r="H33" s="5"/>
      <c r="I33" s="5"/>
      <c r="J33" s="5"/>
      <c r="K33" s="5"/>
      <c r="L33" s="5"/>
      <c r="M33" s="5"/>
      <c r="N33" s="5"/>
      <c r="O33" s="5"/>
      <c r="P33" s="5"/>
      <c r="Q33" s="5"/>
      <c r="R33" s="5"/>
      <c r="S33" s="5"/>
      <c r="T33" s="5"/>
      <c r="U33" s="5"/>
      <c r="V33" s="5"/>
      <c r="W33" s="5"/>
      <c r="X33" s="5"/>
      <c r="Y33" s="5"/>
      <c r="Z33" s="5"/>
      <c r="AA33" s="5"/>
    </row>
    <row r="34" spans="1:27">
      <c r="A34" s="5"/>
      <c r="B34" s="5"/>
      <c r="C34" s="5"/>
      <c r="D34" s="5"/>
      <c r="E34" s="5"/>
      <c r="F34" s="5"/>
      <c r="G34" s="5"/>
      <c r="H34" s="5"/>
      <c r="I34" s="5"/>
      <c r="J34" s="5"/>
      <c r="K34" s="5"/>
      <c r="L34" s="5"/>
      <c r="M34" s="5"/>
      <c r="N34" s="5"/>
      <c r="O34" s="5"/>
      <c r="P34" s="5"/>
      <c r="Q34" s="5"/>
      <c r="R34" s="5"/>
      <c r="S34" s="5"/>
      <c r="T34" s="5"/>
      <c r="U34" s="5"/>
      <c r="V34" s="5"/>
      <c r="W34" s="5"/>
      <c r="X34" s="5"/>
      <c r="Y34" s="5"/>
      <c r="Z34" s="5"/>
      <c r="AA34" s="5"/>
    </row>
    <row r="35" spans="1:27">
      <c r="A35" s="5"/>
      <c r="B35" s="5"/>
      <c r="C35" s="5"/>
      <c r="D35" s="5"/>
      <c r="E35" s="5"/>
      <c r="F35" s="5"/>
      <c r="G35" s="5"/>
      <c r="H35" s="5"/>
      <c r="I35" s="5"/>
      <c r="J35" s="5"/>
      <c r="K35" s="5"/>
      <c r="L35" s="5"/>
      <c r="M35" s="5"/>
      <c r="N35" s="5"/>
      <c r="O35" s="5"/>
      <c r="P35" s="5"/>
      <c r="Q35" s="5"/>
      <c r="R35" s="5"/>
      <c r="S35" s="5"/>
      <c r="T35" s="5"/>
      <c r="U35" s="5"/>
      <c r="V35" s="5"/>
      <c r="W35" s="5"/>
      <c r="X35" s="5"/>
      <c r="Y35" s="5"/>
      <c r="Z35" s="5"/>
      <c r="AA35" s="5"/>
    </row>
    <row r="36" spans="1:27">
      <c r="A36" s="5"/>
      <c r="B36" s="5"/>
      <c r="C36" s="5"/>
      <c r="D36" s="5"/>
      <c r="E36" s="5"/>
      <c r="F36" s="5"/>
      <c r="G36" s="5"/>
      <c r="H36" s="5"/>
      <c r="I36" s="5"/>
      <c r="J36" s="5"/>
      <c r="K36" s="5"/>
      <c r="L36" s="5"/>
      <c r="M36" s="5"/>
      <c r="N36" s="5"/>
      <c r="O36" s="5"/>
      <c r="P36" s="5"/>
      <c r="Q36" s="5"/>
      <c r="R36" s="5"/>
      <c r="S36" s="5"/>
      <c r="T36" s="5"/>
      <c r="U36" s="5"/>
      <c r="V36" s="5"/>
      <c r="W36" s="5"/>
      <c r="X36" s="5"/>
      <c r="Y36" s="5"/>
      <c r="Z36" s="5"/>
      <c r="AA36" s="5"/>
    </row>
    <row r="37" spans="1:27">
      <c r="A37" s="5"/>
      <c r="B37" s="5"/>
      <c r="C37" s="5"/>
      <c r="D37" s="5"/>
      <c r="E37" s="5"/>
      <c r="F37" s="5"/>
      <c r="G37" s="5"/>
      <c r="H37" s="5"/>
      <c r="I37" s="5"/>
      <c r="J37" s="5"/>
      <c r="K37" s="5"/>
      <c r="L37" s="5"/>
      <c r="M37" s="5"/>
      <c r="N37" s="5"/>
      <c r="O37" s="5"/>
      <c r="P37" s="5"/>
      <c r="Q37" s="5"/>
      <c r="R37" s="5"/>
      <c r="S37" s="5"/>
      <c r="T37" s="5"/>
      <c r="U37" s="5"/>
      <c r="V37" s="5"/>
      <c r="W37" s="5"/>
      <c r="X37" s="5"/>
      <c r="Y37" s="5"/>
      <c r="Z37" s="5"/>
      <c r="AA37" s="5"/>
    </row>
    <row r="38" spans="1:27">
      <c r="A38" s="5"/>
      <c r="B38" s="5"/>
      <c r="C38" s="5"/>
      <c r="D38" s="5"/>
      <c r="E38" s="5"/>
      <c r="F38" s="5"/>
      <c r="G38" s="5"/>
      <c r="H38" s="5"/>
      <c r="I38" s="5"/>
      <c r="J38" s="5"/>
      <c r="K38" s="5"/>
      <c r="L38" s="5"/>
      <c r="M38" s="5"/>
      <c r="N38" s="5"/>
      <c r="O38" s="5"/>
      <c r="P38" s="5"/>
      <c r="Q38" s="5"/>
      <c r="R38" s="5"/>
      <c r="S38" s="5"/>
      <c r="T38" s="5"/>
      <c r="U38" s="5"/>
      <c r="V38" s="5"/>
      <c r="W38" s="5"/>
      <c r="X38" s="5"/>
      <c r="Y38" s="5"/>
      <c r="Z38" s="5"/>
      <c r="AA38" s="5"/>
    </row>
    <row r="39" spans="1:27">
      <c r="A39" s="5"/>
      <c r="B39" s="5"/>
      <c r="C39" s="5"/>
      <c r="D39" s="5"/>
      <c r="E39" s="5"/>
      <c r="F39" s="5"/>
      <c r="G39" s="5"/>
      <c r="H39" s="5"/>
      <c r="I39" s="5"/>
      <c r="J39" s="5"/>
      <c r="K39" s="5"/>
      <c r="L39" s="5"/>
      <c r="M39" s="5"/>
      <c r="N39" s="5"/>
      <c r="O39" s="5"/>
      <c r="P39" s="5"/>
      <c r="Q39" s="5"/>
      <c r="R39" s="5"/>
      <c r="S39" s="5"/>
      <c r="T39" s="5"/>
      <c r="U39" s="5"/>
      <c r="V39" s="5"/>
      <c r="W39" s="5"/>
      <c r="X39" s="5"/>
      <c r="Y39" s="5"/>
      <c r="Z39" s="5"/>
      <c r="AA39" s="5"/>
    </row>
    <row r="40" spans="1:27">
      <c r="A40" s="5"/>
      <c r="B40" s="5"/>
      <c r="C40" s="5"/>
      <c r="D40" s="5"/>
      <c r="E40" s="5"/>
      <c r="F40" s="5"/>
      <c r="G40" s="5"/>
      <c r="H40" s="5"/>
      <c r="I40" s="5"/>
      <c r="J40" s="5"/>
      <c r="K40" s="5"/>
      <c r="L40" s="5"/>
      <c r="M40" s="5"/>
      <c r="N40" s="5"/>
      <c r="O40" s="5"/>
      <c r="P40" s="5"/>
      <c r="Q40" s="5"/>
      <c r="R40" s="5"/>
      <c r="S40" s="5"/>
      <c r="T40" s="5"/>
      <c r="U40" s="5"/>
      <c r="V40" s="5"/>
      <c r="W40" s="5"/>
      <c r="X40" s="5"/>
      <c r="Y40" s="5"/>
      <c r="Z40" s="5"/>
      <c r="AA40" s="5"/>
    </row>
    <row r="41" spans="1:27">
      <c r="A41" s="5"/>
      <c r="B41" s="5"/>
      <c r="C41" s="5"/>
      <c r="D41" s="5"/>
      <c r="E41" s="5"/>
      <c r="F41" s="5"/>
      <c r="G41" s="5"/>
      <c r="H41" s="5"/>
      <c r="I41" s="5"/>
      <c r="J41" s="5"/>
      <c r="K41" s="5"/>
      <c r="L41" s="5"/>
      <c r="M41" s="5"/>
      <c r="N41" s="5"/>
      <c r="O41" s="5"/>
      <c r="P41" s="5"/>
      <c r="Q41" s="5"/>
      <c r="R41" s="5"/>
      <c r="S41" s="5"/>
      <c r="T41" s="5"/>
      <c r="U41" s="5"/>
      <c r="V41" s="5"/>
      <c r="W41" s="5"/>
      <c r="X41" s="5"/>
      <c r="Y41" s="5"/>
      <c r="Z41" s="5"/>
      <c r="AA41" s="5"/>
    </row>
    <row r="42" spans="1:27">
      <c r="A42" s="5"/>
      <c r="B42" s="5"/>
      <c r="C42" s="5"/>
      <c r="D42" s="5"/>
      <c r="E42" s="5"/>
      <c r="F42" s="5"/>
      <c r="G42" s="5"/>
      <c r="H42" s="5"/>
      <c r="I42" s="5"/>
      <c r="J42" s="5"/>
      <c r="K42" s="5"/>
      <c r="L42" s="5"/>
      <c r="M42" s="5"/>
      <c r="N42" s="5"/>
      <c r="O42" s="5"/>
      <c r="P42" s="5"/>
      <c r="Q42" s="5"/>
      <c r="R42" s="5"/>
      <c r="S42" s="5"/>
      <c r="T42" s="5"/>
      <c r="U42" s="5"/>
      <c r="V42" s="5"/>
      <c r="W42" s="5"/>
      <c r="X42" s="5"/>
      <c r="Y42" s="5"/>
      <c r="Z42" s="5"/>
      <c r="AA42" s="5"/>
    </row>
    <row r="43" spans="1:27">
      <c r="A43" s="5"/>
      <c r="B43" s="5"/>
      <c r="C43" s="5"/>
      <c r="D43" s="5"/>
      <c r="E43" s="5"/>
      <c r="F43" s="5"/>
      <c r="G43" s="5"/>
      <c r="H43" s="5"/>
      <c r="I43" s="5"/>
      <c r="J43" s="5"/>
      <c r="K43" s="5"/>
      <c r="L43" s="5"/>
      <c r="M43" s="5"/>
      <c r="N43" s="5"/>
      <c r="O43" s="5"/>
      <c r="P43" s="5"/>
      <c r="Q43" s="5"/>
      <c r="R43" s="5"/>
      <c r="S43" s="5"/>
      <c r="T43" s="5"/>
      <c r="U43" s="5"/>
      <c r="V43" s="5"/>
      <c r="W43" s="5"/>
      <c r="X43" s="5"/>
      <c r="Y43" s="5"/>
      <c r="Z43" s="5"/>
      <c r="AA43" s="5"/>
    </row>
    <row r="44" spans="1:27">
      <c r="A44" s="5"/>
      <c r="B44" s="5"/>
      <c r="C44" s="5"/>
      <c r="D44" s="5"/>
      <c r="E44" s="5"/>
      <c r="F44" s="5"/>
      <c r="G44" s="5"/>
      <c r="H44" s="5"/>
      <c r="I44" s="5"/>
      <c r="J44" s="5"/>
      <c r="K44" s="5"/>
      <c r="L44" s="5"/>
      <c r="M44" s="5"/>
      <c r="N44" s="5"/>
      <c r="O44" s="5"/>
      <c r="P44" s="5"/>
      <c r="Q44" s="5"/>
      <c r="R44" s="5"/>
      <c r="S44" s="5"/>
      <c r="T44" s="5"/>
      <c r="U44" s="5"/>
      <c r="V44" s="5"/>
      <c r="W44" s="5"/>
      <c r="X44" s="5"/>
      <c r="Y44" s="5"/>
      <c r="Z44" s="5"/>
      <c r="AA44" s="5"/>
    </row>
    <row r="45" spans="1:27">
      <c r="A45" s="5"/>
      <c r="B45" s="5"/>
      <c r="C45" s="5"/>
      <c r="D45" s="5"/>
      <c r="E45" s="5"/>
      <c r="F45" s="5"/>
      <c r="G45" s="5"/>
      <c r="H45" s="5"/>
      <c r="I45" s="5"/>
      <c r="J45" s="5"/>
      <c r="K45" s="5"/>
      <c r="L45" s="5"/>
      <c r="M45" s="5"/>
      <c r="N45" s="5"/>
      <c r="O45" s="5"/>
      <c r="P45" s="5"/>
      <c r="Q45" s="5"/>
      <c r="R45" s="5"/>
      <c r="S45" s="5"/>
      <c r="T45" s="5"/>
      <c r="U45" s="5"/>
      <c r="V45" s="5"/>
      <c r="W45" s="5"/>
      <c r="X45" s="5"/>
      <c r="Y45" s="5"/>
      <c r="Z45" s="5"/>
      <c r="AA45" s="5"/>
    </row>
    <row r="46" spans="1:27">
      <c r="A46" s="5"/>
      <c r="B46" s="5"/>
      <c r="C46" s="5"/>
      <c r="D46" s="5"/>
      <c r="E46" s="5"/>
      <c r="F46" s="5"/>
      <c r="G46" s="5"/>
      <c r="H46" s="5"/>
      <c r="I46" s="5"/>
      <c r="J46" s="5"/>
      <c r="K46" s="5"/>
      <c r="L46" s="5"/>
      <c r="M46" s="5"/>
      <c r="N46" s="5"/>
      <c r="O46" s="5"/>
      <c r="P46" s="5"/>
      <c r="Q46" s="5"/>
      <c r="R46" s="5"/>
      <c r="S46" s="5"/>
      <c r="T46" s="5"/>
      <c r="U46" s="5"/>
      <c r="V46" s="5"/>
      <c r="W46" s="5"/>
      <c r="X46" s="5"/>
      <c r="Y46" s="5"/>
      <c r="Z46" s="5"/>
      <c r="AA46" s="5"/>
    </row>
    <row r="47" spans="1:27">
      <c r="A47" s="5"/>
      <c r="B47" s="5"/>
      <c r="C47" s="5"/>
      <c r="D47" s="5"/>
      <c r="E47" s="5"/>
      <c r="F47" s="5"/>
      <c r="G47" s="5"/>
      <c r="H47" s="5"/>
      <c r="I47" s="5"/>
      <c r="J47" s="5"/>
      <c r="K47" s="5"/>
      <c r="L47" s="5"/>
      <c r="M47" s="5"/>
      <c r="N47" s="5"/>
      <c r="O47" s="5"/>
      <c r="P47" s="5"/>
      <c r="Q47" s="5"/>
      <c r="R47" s="5"/>
      <c r="S47" s="5"/>
      <c r="T47" s="5"/>
      <c r="U47" s="5"/>
      <c r="V47" s="5"/>
      <c r="W47" s="5"/>
      <c r="X47" s="5"/>
      <c r="Y47" s="5"/>
      <c r="Z47" s="5"/>
      <c r="AA47" s="5"/>
    </row>
    <row r="48" spans="1:27">
      <c r="A48" s="5"/>
      <c r="B48" s="5"/>
      <c r="C48" s="5"/>
      <c r="D48" s="5"/>
      <c r="E48" s="5"/>
      <c r="F48" s="5"/>
      <c r="G48" s="5"/>
      <c r="H48" s="5"/>
      <c r="I48" s="5"/>
      <c r="J48" s="5"/>
      <c r="K48" s="5"/>
      <c r="L48" s="5"/>
      <c r="M48" s="5"/>
      <c r="N48" s="5"/>
      <c r="O48" s="5"/>
      <c r="P48" s="5"/>
      <c r="Q48" s="5"/>
      <c r="R48" s="5"/>
      <c r="S48" s="5"/>
      <c r="T48" s="5"/>
      <c r="U48" s="5"/>
      <c r="V48" s="5"/>
      <c r="W48" s="5"/>
      <c r="X48" s="5"/>
      <c r="Y48" s="5"/>
      <c r="Z48" s="5"/>
      <c r="AA48" s="5"/>
    </row>
    <row r="49" spans="1:27">
      <c r="A49" s="5"/>
      <c r="B49" s="5"/>
      <c r="C49" s="5"/>
      <c r="D49" s="5"/>
      <c r="E49" s="5"/>
      <c r="F49" s="5"/>
      <c r="G49" s="5"/>
      <c r="H49" s="5"/>
      <c r="I49" s="5"/>
      <c r="J49" s="5"/>
      <c r="K49" s="5"/>
      <c r="L49" s="5"/>
      <c r="M49" s="5"/>
      <c r="N49" s="5"/>
      <c r="O49" s="5"/>
      <c r="P49" s="5"/>
      <c r="Q49" s="5"/>
      <c r="R49" s="5"/>
      <c r="S49" s="5"/>
      <c r="T49" s="5"/>
      <c r="U49" s="5"/>
      <c r="V49" s="5"/>
      <c r="W49" s="5"/>
      <c r="X49" s="5"/>
      <c r="Y49" s="5"/>
      <c r="Z49" s="5"/>
      <c r="AA49" s="5"/>
    </row>
    <row r="50" spans="1:27">
      <c r="A50" s="5"/>
      <c r="B50" s="5"/>
      <c r="C50" s="5"/>
      <c r="D50" s="5"/>
      <c r="E50" s="5"/>
      <c r="F50" s="5"/>
      <c r="G50" s="5"/>
      <c r="H50" s="5"/>
      <c r="I50" s="5"/>
      <c r="J50" s="5"/>
      <c r="K50" s="5"/>
      <c r="L50" s="5"/>
      <c r="M50" s="5"/>
      <c r="N50" s="5"/>
      <c r="O50" s="5"/>
      <c r="P50" s="5"/>
      <c r="Q50" s="5"/>
      <c r="R50" s="5"/>
      <c r="S50" s="5"/>
      <c r="T50" s="5"/>
      <c r="U50" s="5"/>
      <c r="V50" s="5"/>
      <c r="W50" s="5"/>
      <c r="X50" s="5"/>
      <c r="Y50" s="5"/>
      <c r="Z50" s="5"/>
      <c r="AA50" s="5"/>
    </row>
    <row r="51" spans="1:27">
      <c r="A51" s="5"/>
      <c r="B51" s="5"/>
      <c r="C51" s="5"/>
      <c r="D51" s="5"/>
      <c r="E51" s="5"/>
      <c r="F51" s="5"/>
      <c r="G51" s="5"/>
      <c r="H51" s="5"/>
      <c r="I51" s="5"/>
      <c r="J51" s="5"/>
      <c r="K51" s="5"/>
      <c r="L51" s="5"/>
      <c r="M51" s="5"/>
      <c r="N51" s="5"/>
      <c r="O51" s="5"/>
      <c r="P51" s="5"/>
      <c r="Q51" s="5"/>
      <c r="R51" s="5"/>
      <c r="S51" s="5"/>
      <c r="T51" s="5"/>
      <c r="U51" s="5"/>
      <c r="V51" s="5"/>
      <c r="W51" s="5"/>
      <c r="X51" s="5"/>
      <c r="Y51" s="5"/>
      <c r="Z51" s="5"/>
      <c r="AA51" s="5"/>
    </row>
    <row r="52" spans="1:27">
      <c r="A52" s="5"/>
      <c r="B52" s="5"/>
      <c r="C52" s="5"/>
      <c r="D52" s="5"/>
      <c r="E52" s="5"/>
      <c r="F52" s="5"/>
      <c r="G52" s="5"/>
      <c r="H52" s="5"/>
      <c r="I52" s="5"/>
      <c r="J52" s="5"/>
      <c r="K52" s="5"/>
      <c r="L52" s="5"/>
      <c r="M52" s="5"/>
      <c r="N52" s="5"/>
      <c r="O52" s="5"/>
      <c r="P52" s="5"/>
      <c r="Q52" s="5"/>
      <c r="R52" s="5"/>
      <c r="S52" s="5"/>
      <c r="T52" s="5"/>
      <c r="U52" s="5"/>
      <c r="V52" s="5"/>
      <c r="W52" s="5"/>
      <c r="X52" s="5"/>
      <c r="Y52" s="5"/>
      <c r="Z52" s="5"/>
      <c r="AA52" s="5"/>
    </row>
    <row r="53" spans="1:27">
      <c r="A53" s="5"/>
      <c r="B53" s="5"/>
      <c r="C53" s="5"/>
      <c r="D53" s="5"/>
      <c r="E53" s="5"/>
      <c r="F53" s="5"/>
      <c r="G53" s="5"/>
      <c r="H53" s="5"/>
      <c r="I53" s="5"/>
      <c r="J53" s="5"/>
      <c r="K53" s="5"/>
      <c r="L53" s="5"/>
      <c r="M53" s="5"/>
      <c r="N53" s="5"/>
      <c r="O53" s="5"/>
      <c r="P53" s="5"/>
      <c r="Q53" s="5"/>
      <c r="R53" s="5"/>
      <c r="S53" s="5"/>
      <c r="T53" s="5"/>
      <c r="U53" s="5"/>
      <c r="V53" s="5"/>
      <c r="W53" s="5"/>
      <c r="X53" s="5"/>
      <c r="Y53" s="5"/>
      <c r="Z53" s="5"/>
      <c r="AA53" s="5"/>
    </row>
    <row r="54" spans="1:27">
      <c r="A54" s="5"/>
      <c r="B54" s="5"/>
      <c r="C54" s="5"/>
      <c r="D54" s="5"/>
      <c r="E54" s="5"/>
      <c r="F54" s="5"/>
      <c r="G54" s="5"/>
      <c r="H54" s="5"/>
      <c r="I54" s="5"/>
      <c r="J54" s="5"/>
      <c r="K54" s="5"/>
      <c r="L54" s="5"/>
      <c r="M54" s="5"/>
      <c r="N54" s="5"/>
      <c r="O54" s="5"/>
      <c r="P54" s="5"/>
      <c r="Q54" s="5"/>
      <c r="R54" s="5"/>
      <c r="S54" s="5"/>
      <c r="T54" s="5"/>
      <c r="U54" s="5"/>
      <c r="V54" s="5"/>
      <c r="W54" s="5"/>
      <c r="X54" s="5"/>
      <c r="Y54" s="5"/>
      <c r="Z54" s="5"/>
      <c r="AA54" s="5"/>
    </row>
    <row r="55" spans="1:27">
      <c r="A55" s="5"/>
      <c r="B55" s="5"/>
      <c r="C55" s="5"/>
      <c r="D55" s="5"/>
      <c r="E55" s="5"/>
      <c r="F55" s="5"/>
      <c r="G55" s="5"/>
      <c r="H55" s="5"/>
      <c r="I55" s="5"/>
      <c r="J55" s="5"/>
      <c r="K55" s="5"/>
      <c r="L55" s="5"/>
      <c r="M55" s="5"/>
      <c r="N55" s="5"/>
      <c r="O55" s="5"/>
      <c r="P55" s="5"/>
      <c r="Q55" s="5"/>
      <c r="R55" s="5"/>
      <c r="S55" s="5"/>
      <c r="T55" s="5"/>
      <c r="U55" s="5"/>
      <c r="V55" s="5"/>
      <c r="W55" s="5"/>
      <c r="X55" s="5"/>
      <c r="Y55" s="5"/>
      <c r="Z55" s="5"/>
      <c r="AA55" s="5"/>
    </row>
    <row r="56" spans="1:27">
      <c r="A56" s="5"/>
      <c r="B56" s="5"/>
      <c r="C56" s="5"/>
      <c r="D56" s="5"/>
      <c r="E56" s="5"/>
      <c r="F56" s="5"/>
      <c r="G56" s="5"/>
      <c r="H56" s="5"/>
      <c r="I56" s="5"/>
      <c r="J56" s="5"/>
      <c r="K56" s="5"/>
      <c r="L56" s="5"/>
      <c r="M56" s="5"/>
      <c r="N56" s="5"/>
      <c r="O56" s="5"/>
      <c r="P56" s="5"/>
      <c r="Q56" s="5"/>
      <c r="R56" s="5"/>
      <c r="S56" s="5"/>
      <c r="T56" s="5"/>
      <c r="U56" s="5"/>
      <c r="V56" s="5"/>
      <c r="W56" s="5"/>
      <c r="X56" s="5"/>
      <c r="Y56" s="5"/>
      <c r="Z56" s="5"/>
      <c r="AA56" s="5"/>
    </row>
    <row r="57" spans="1:27">
      <c r="A57" s="5"/>
      <c r="B57" s="5"/>
      <c r="C57" s="5"/>
      <c r="D57" s="5"/>
      <c r="E57" s="5"/>
      <c r="F57" s="5"/>
      <c r="G57" s="5"/>
      <c r="H57" s="5"/>
      <c r="I57" s="5"/>
      <c r="J57" s="5"/>
      <c r="K57" s="5"/>
      <c r="L57" s="5"/>
      <c r="M57" s="5"/>
      <c r="N57" s="5"/>
      <c r="O57" s="5"/>
      <c r="P57" s="5"/>
      <c r="Q57" s="5"/>
      <c r="R57" s="5"/>
      <c r="S57" s="5"/>
      <c r="T57" s="5"/>
      <c r="U57" s="5"/>
      <c r="V57" s="5"/>
      <c r="W57" s="5"/>
      <c r="X57" s="5"/>
      <c r="Y57" s="5"/>
      <c r="Z57" s="5"/>
      <c r="AA57" s="5"/>
    </row>
    <row r="58" spans="1:27">
      <c r="A58" s="5"/>
      <c r="B58" s="5"/>
      <c r="C58" s="5"/>
      <c r="D58" s="5"/>
      <c r="E58" s="5"/>
      <c r="F58" s="5"/>
      <c r="G58" s="5"/>
      <c r="H58" s="5"/>
      <c r="I58" s="5"/>
      <c r="J58" s="5"/>
      <c r="K58" s="5"/>
      <c r="L58" s="5"/>
      <c r="M58" s="5"/>
      <c r="N58" s="5"/>
      <c r="O58" s="5"/>
      <c r="P58" s="5"/>
      <c r="Q58" s="5"/>
      <c r="R58" s="5"/>
      <c r="S58" s="5"/>
      <c r="T58" s="5"/>
      <c r="U58" s="5"/>
      <c r="V58" s="5"/>
      <c r="W58" s="5"/>
      <c r="X58" s="5"/>
      <c r="Y58" s="5"/>
      <c r="Z58" s="5"/>
      <c r="AA58" s="5"/>
    </row>
    <row r="59" spans="1:27">
      <c r="A59" s="5"/>
      <c r="B59" s="5"/>
      <c r="C59" s="5"/>
      <c r="D59" s="5"/>
      <c r="E59" s="5"/>
      <c r="F59" s="5"/>
      <c r="G59" s="5"/>
      <c r="H59" s="5"/>
      <c r="I59" s="5"/>
      <c r="J59" s="5"/>
      <c r="K59" s="5"/>
      <c r="L59" s="5"/>
      <c r="M59" s="5"/>
      <c r="N59" s="5"/>
      <c r="O59" s="5"/>
      <c r="P59" s="5"/>
      <c r="Q59" s="5"/>
      <c r="R59" s="5"/>
      <c r="S59" s="5"/>
      <c r="T59" s="5"/>
      <c r="U59" s="5"/>
      <c r="V59" s="5"/>
      <c r="W59" s="5"/>
      <c r="X59" s="5"/>
      <c r="Y59" s="5"/>
      <c r="Z59" s="5"/>
      <c r="AA59" s="5"/>
    </row>
    <row r="60" spans="1:27">
      <c r="A60" s="5"/>
      <c r="B60" s="5"/>
      <c r="C60" s="5"/>
      <c r="D60" s="5"/>
      <c r="E60" s="5"/>
      <c r="F60" s="5"/>
      <c r="G60" s="5"/>
      <c r="H60" s="5"/>
      <c r="I60" s="5"/>
      <c r="J60" s="5"/>
      <c r="K60" s="5"/>
      <c r="L60" s="5"/>
      <c r="M60" s="5"/>
      <c r="N60" s="5"/>
      <c r="O60" s="5"/>
      <c r="P60" s="5"/>
      <c r="Q60" s="5"/>
      <c r="R60" s="5"/>
      <c r="S60" s="5"/>
      <c r="T60" s="5"/>
      <c r="U60" s="5"/>
      <c r="V60" s="5"/>
      <c r="W60" s="5"/>
      <c r="X60" s="5"/>
      <c r="Y60" s="5"/>
      <c r="Z60" s="5"/>
      <c r="AA60" s="5"/>
    </row>
    <row r="61" spans="1:27">
      <c r="A61" s="5"/>
      <c r="B61" s="5"/>
      <c r="C61" s="5"/>
      <c r="D61" s="5"/>
      <c r="E61" s="5"/>
      <c r="F61" s="5"/>
      <c r="G61" s="5"/>
      <c r="H61" s="5"/>
      <c r="I61" s="5"/>
      <c r="J61" s="5"/>
      <c r="K61" s="5"/>
      <c r="L61" s="5"/>
      <c r="M61" s="5"/>
      <c r="N61" s="5"/>
      <c r="O61" s="5"/>
      <c r="P61" s="5"/>
      <c r="Q61" s="5"/>
      <c r="R61" s="5"/>
      <c r="S61" s="5"/>
      <c r="T61" s="5"/>
      <c r="U61" s="5"/>
      <c r="V61" s="5"/>
      <c r="W61" s="5"/>
      <c r="X61" s="5"/>
      <c r="Y61" s="5"/>
      <c r="Z61" s="5"/>
      <c r="AA61" s="5"/>
    </row>
    <row r="62" spans="1:27">
      <c r="A62" s="5"/>
      <c r="B62" s="5"/>
      <c r="C62" s="5"/>
      <c r="D62" s="5"/>
      <c r="E62" s="5"/>
      <c r="F62" s="5"/>
      <c r="G62" s="5"/>
      <c r="H62" s="5"/>
      <c r="I62" s="5"/>
      <c r="J62" s="5"/>
      <c r="K62" s="5"/>
      <c r="L62" s="5"/>
      <c r="M62" s="5"/>
      <c r="N62" s="5"/>
      <c r="O62" s="5"/>
      <c r="P62" s="5"/>
      <c r="Q62" s="5"/>
      <c r="R62" s="5"/>
      <c r="S62" s="5"/>
      <c r="T62" s="5"/>
      <c r="U62" s="5"/>
      <c r="V62" s="5"/>
      <c r="W62" s="5"/>
      <c r="X62" s="5"/>
      <c r="Y62" s="5"/>
      <c r="Z62" s="5"/>
      <c r="AA62" s="5"/>
    </row>
    <row r="63" spans="1:27">
      <c r="A63" s="5"/>
      <c r="B63" s="5"/>
      <c r="C63" s="5"/>
      <c r="D63" s="5"/>
      <c r="E63" s="5"/>
      <c r="F63" s="5"/>
      <c r="G63" s="5"/>
      <c r="H63" s="5"/>
      <c r="I63" s="5"/>
      <c r="J63" s="5"/>
      <c r="K63" s="5"/>
      <c r="L63" s="5"/>
      <c r="M63" s="5"/>
      <c r="N63" s="5"/>
      <c r="O63" s="5"/>
      <c r="P63" s="5"/>
      <c r="Q63" s="5"/>
      <c r="R63" s="5"/>
      <c r="S63" s="5"/>
      <c r="T63" s="5"/>
      <c r="U63" s="5"/>
      <c r="V63" s="5"/>
      <c r="W63" s="5"/>
      <c r="X63" s="5"/>
      <c r="Y63" s="5"/>
      <c r="Z63" s="5"/>
      <c r="AA63" s="5"/>
    </row>
    <row r="64" spans="1:27">
      <c r="A64" s="5"/>
      <c r="B64" s="5"/>
      <c r="C64" s="5"/>
      <c r="D64" s="5"/>
      <c r="E64" s="5"/>
      <c r="F64" s="5"/>
      <c r="G64" s="5"/>
      <c r="H64" s="5"/>
      <c r="I64" s="5"/>
      <c r="J64" s="5"/>
      <c r="K64" s="5"/>
      <c r="L64" s="5"/>
      <c r="M64" s="5"/>
      <c r="N64" s="5"/>
      <c r="O64" s="5"/>
      <c r="P64" s="5"/>
      <c r="Q64" s="5"/>
      <c r="R64" s="5"/>
      <c r="S64" s="5"/>
      <c r="T64" s="5"/>
      <c r="U64" s="5"/>
      <c r="V64" s="5"/>
      <c r="W64" s="5"/>
      <c r="X64" s="5"/>
      <c r="Y64" s="5"/>
      <c r="Z64" s="5"/>
      <c r="AA64" s="5"/>
    </row>
    <row r="65" spans="1:27">
      <c r="A65" s="5"/>
      <c r="B65" s="5"/>
      <c r="C65" s="5"/>
      <c r="D65" s="5"/>
      <c r="E65" s="5"/>
      <c r="F65" s="5"/>
      <c r="G65" s="5"/>
      <c r="H65" s="5"/>
      <c r="I65" s="5"/>
      <c r="J65" s="5"/>
      <c r="K65" s="5"/>
      <c r="L65" s="5"/>
      <c r="M65" s="5"/>
      <c r="N65" s="5"/>
      <c r="O65" s="5"/>
      <c r="P65" s="5"/>
      <c r="Q65" s="5"/>
      <c r="R65" s="5"/>
      <c r="S65" s="5"/>
      <c r="T65" s="5"/>
      <c r="U65" s="5"/>
      <c r="V65" s="5"/>
      <c r="W65" s="5"/>
      <c r="X65" s="5"/>
      <c r="Y65" s="5"/>
      <c r="Z65" s="5"/>
      <c r="AA65" s="5"/>
    </row>
    <row r="66" spans="1:27">
      <c r="A66" s="5"/>
      <c r="B66" s="5"/>
      <c r="C66" s="5"/>
      <c r="D66" s="5"/>
      <c r="E66" s="5"/>
      <c r="F66" s="5"/>
      <c r="G66" s="5"/>
      <c r="H66" s="5"/>
      <c r="I66" s="5"/>
      <c r="J66" s="5"/>
      <c r="K66" s="5"/>
      <c r="L66" s="5"/>
      <c r="M66" s="5"/>
      <c r="N66" s="5"/>
      <c r="O66" s="5"/>
      <c r="P66" s="5"/>
      <c r="Q66" s="5"/>
      <c r="R66" s="5"/>
      <c r="S66" s="5"/>
      <c r="T66" s="5"/>
      <c r="U66" s="5"/>
      <c r="V66" s="5"/>
      <c r="W66" s="5"/>
      <c r="X66" s="5"/>
      <c r="Y66" s="5"/>
      <c r="Z66" s="5"/>
      <c r="AA66" s="5"/>
    </row>
    <row r="67" spans="1:27">
      <c r="A67" s="5"/>
      <c r="B67" s="5"/>
      <c r="C67" s="5"/>
      <c r="D67" s="5"/>
      <c r="E67" s="5"/>
      <c r="F67" s="5"/>
      <c r="G67" s="5"/>
      <c r="H67" s="5"/>
      <c r="I67" s="5"/>
      <c r="J67" s="5"/>
      <c r="K67" s="5"/>
      <c r="L67" s="5"/>
      <c r="M67" s="5"/>
      <c r="N67" s="5"/>
      <c r="O67" s="5"/>
      <c r="P67" s="5"/>
      <c r="Q67" s="5"/>
      <c r="R67" s="5"/>
      <c r="S67" s="5"/>
      <c r="T67" s="5"/>
      <c r="U67" s="5"/>
      <c r="V67" s="5"/>
      <c r="W67" s="5"/>
      <c r="X67" s="5"/>
      <c r="Y67" s="5"/>
      <c r="Z67" s="5"/>
      <c r="AA67" s="5"/>
    </row>
    <row r="68" spans="1:27">
      <c r="A68" s="5"/>
      <c r="B68" s="5"/>
      <c r="C68" s="5"/>
      <c r="D68" s="5"/>
      <c r="E68" s="5"/>
      <c r="F68" s="5"/>
      <c r="G68" s="5"/>
      <c r="H68" s="5"/>
      <c r="I68" s="5"/>
      <c r="J68" s="5"/>
      <c r="K68" s="5"/>
      <c r="L68" s="5"/>
      <c r="M68" s="5"/>
      <c r="N68" s="5"/>
      <c r="O68" s="5"/>
      <c r="P68" s="5"/>
      <c r="Q68" s="5"/>
      <c r="R68" s="5"/>
      <c r="S68" s="5"/>
      <c r="T68" s="5"/>
      <c r="U68" s="5"/>
      <c r="V68" s="5"/>
      <c r="W68" s="5"/>
      <c r="X68" s="5"/>
      <c r="Y68" s="5"/>
      <c r="Z68" s="5"/>
      <c r="AA68" s="5"/>
    </row>
    <row r="69" spans="1:27">
      <c r="A69" s="5"/>
      <c r="B69" s="5"/>
      <c r="C69" s="5"/>
      <c r="D69" s="5"/>
      <c r="E69" s="5"/>
      <c r="F69" s="5"/>
      <c r="G69" s="5"/>
      <c r="H69" s="5"/>
      <c r="I69" s="5"/>
      <c r="J69" s="5"/>
      <c r="K69" s="5"/>
      <c r="L69" s="5"/>
      <c r="M69" s="5"/>
      <c r="N69" s="5"/>
      <c r="O69" s="5"/>
      <c r="P69" s="5"/>
      <c r="Q69" s="5"/>
      <c r="R69" s="5"/>
      <c r="S69" s="5"/>
      <c r="T69" s="5"/>
      <c r="U69" s="5"/>
      <c r="V69" s="5"/>
      <c r="W69" s="5"/>
      <c r="X69" s="5"/>
      <c r="Y69" s="5"/>
      <c r="Z69" s="5"/>
      <c r="AA69" s="5"/>
    </row>
    <row r="70" spans="1:27">
      <c r="A70" s="5"/>
      <c r="B70" s="5"/>
      <c r="C70" s="5"/>
      <c r="D70" s="5"/>
      <c r="E70" s="5"/>
      <c r="F70" s="5"/>
      <c r="G70" s="5"/>
      <c r="H70" s="5"/>
      <c r="I70" s="5"/>
      <c r="J70" s="5"/>
      <c r="K70" s="5"/>
      <c r="L70" s="5"/>
      <c r="M70" s="5"/>
      <c r="N70" s="5"/>
      <c r="O70" s="5"/>
      <c r="P70" s="5"/>
      <c r="Q70" s="5"/>
      <c r="R70" s="5"/>
      <c r="S70" s="5"/>
      <c r="T70" s="5"/>
      <c r="U70" s="5"/>
      <c r="V70" s="5"/>
      <c r="W70" s="5"/>
      <c r="X70" s="5"/>
      <c r="Y70" s="5"/>
      <c r="Z70" s="5"/>
      <c r="AA70" s="5"/>
    </row>
    <row r="71" spans="1:27">
      <c r="A71" s="5"/>
      <c r="B71" s="5"/>
      <c r="C71" s="5"/>
      <c r="D71" s="5"/>
      <c r="E71" s="5"/>
      <c r="F71" s="5"/>
      <c r="G71" s="5"/>
      <c r="H71" s="5"/>
      <c r="I71" s="5"/>
      <c r="J71" s="5"/>
      <c r="K71" s="5"/>
      <c r="L71" s="5"/>
      <c r="M71" s="5"/>
      <c r="N71" s="5"/>
      <c r="O71" s="5"/>
      <c r="P71" s="5"/>
      <c r="Q71" s="5"/>
      <c r="R71" s="5"/>
      <c r="S71" s="5"/>
      <c r="T71" s="5"/>
      <c r="U71" s="5"/>
      <c r="V71" s="5"/>
      <c r="W71" s="5"/>
      <c r="X71" s="5"/>
      <c r="Y71" s="5"/>
      <c r="Z71" s="5"/>
      <c r="AA71" s="5"/>
    </row>
    <row r="72" spans="1:27">
      <c r="A72" s="5"/>
      <c r="B72" s="5"/>
      <c r="C72" s="5"/>
      <c r="D72" s="5"/>
      <c r="E72" s="5"/>
      <c r="F72" s="5"/>
      <c r="G72" s="5"/>
      <c r="H72" s="5"/>
      <c r="I72" s="5"/>
      <c r="J72" s="5"/>
      <c r="K72" s="5"/>
      <c r="L72" s="5"/>
      <c r="M72" s="5"/>
      <c r="N72" s="5"/>
      <c r="O72" s="5"/>
      <c r="P72" s="5"/>
      <c r="Q72" s="5"/>
      <c r="R72" s="5"/>
      <c r="S72" s="5"/>
      <c r="T72" s="5"/>
      <c r="U72" s="5"/>
      <c r="V72" s="5"/>
      <c r="W72" s="5"/>
      <c r="X72" s="5"/>
      <c r="Y72" s="5"/>
      <c r="Z72" s="5"/>
      <c r="AA72" s="5"/>
    </row>
    <row r="73" spans="1:27">
      <c r="A73" s="5"/>
      <c r="B73" s="5"/>
      <c r="C73" s="5"/>
      <c r="D73" s="5"/>
      <c r="E73" s="5"/>
      <c r="F73" s="5"/>
      <c r="G73" s="5"/>
      <c r="H73" s="5"/>
      <c r="I73" s="5"/>
      <c r="J73" s="5"/>
      <c r="K73" s="5"/>
      <c r="L73" s="5"/>
      <c r="M73" s="5"/>
      <c r="N73" s="5"/>
      <c r="O73" s="5"/>
      <c r="P73" s="5"/>
      <c r="Q73" s="5"/>
      <c r="R73" s="5"/>
      <c r="S73" s="5"/>
      <c r="T73" s="5"/>
      <c r="U73" s="5"/>
      <c r="V73" s="5"/>
      <c r="W73" s="5"/>
      <c r="X73" s="5"/>
      <c r="Y73" s="5"/>
      <c r="Z73" s="5"/>
      <c r="AA73" s="5"/>
    </row>
    <row r="74" spans="1:27">
      <c r="A74" s="5"/>
      <c r="B74" s="5"/>
      <c r="C74" s="5"/>
      <c r="D74" s="5"/>
      <c r="E74" s="5"/>
      <c r="F74" s="5"/>
      <c r="G74" s="5"/>
      <c r="H74" s="5"/>
      <c r="I74" s="5"/>
      <c r="J74" s="5"/>
      <c r="K74" s="5"/>
      <c r="L74" s="5"/>
      <c r="M74" s="5"/>
      <c r="N74" s="5"/>
      <c r="O74" s="5"/>
      <c r="P74" s="5"/>
      <c r="Q74" s="5"/>
      <c r="R74" s="5"/>
      <c r="S74" s="5"/>
      <c r="T74" s="5"/>
      <c r="U74" s="5"/>
      <c r="V74" s="5"/>
      <c r="W74" s="5"/>
      <c r="X74" s="5"/>
      <c r="Y74" s="5"/>
      <c r="Z74" s="5"/>
      <c r="AA74" s="5"/>
    </row>
    <row r="75" spans="1:27">
      <c r="A75" s="5"/>
      <c r="B75" s="5"/>
      <c r="C75" s="5"/>
      <c r="D75" s="5"/>
      <c r="E75" s="5"/>
      <c r="F75" s="5"/>
      <c r="G75" s="5"/>
      <c r="H75" s="5"/>
      <c r="I75" s="5"/>
      <c r="J75" s="5"/>
      <c r="K75" s="5"/>
      <c r="L75" s="5"/>
      <c r="M75" s="5"/>
      <c r="N75" s="5"/>
      <c r="O75" s="5"/>
      <c r="P75" s="5"/>
      <c r="Q75" s="5"/>
      <c r="R75" s="5"/>
      <c r="S75" s="5"/>
      <c r="T75" s="5"/>
      <c r="U75" s="5"/>
      <c r="V75" s="5"/>
      <c r="W75" s="5"/>
      <c r="X75" s="5"/>
      <c r="Y75" s="5"/>
      <c r="Z75" s="5"/>
      <c r="AA75" s="5"/>
    </row>
    <row r="76" spans="1:27">
      <c r="A76" s="5"/>
      <c r="B76" s="5"/>
      <c r="C76" s="5"/>
      <c r="D76" s="5"/>
      <c r="E76" s="5"/>
      <c r="F76" s="5"/>
      <c r="G76" s="5"/>
      <c r="H76" s="5"/>
      <c r="I76" s="5"/>
      <c r="J76" s="5"/>
      <c r="K76" s="5"/>
      <c r="L76" s="5"/>
      <c r="M76" s="5"/>
      <c r="N76" s="5"/>
      <c r="O76" s="5"/>
      <c r="P76" s="5"/>
      <c r="Q76" s="5"/>
      <c r="R76" s="5"/>
      <c r="S76" s="5"/>
      <c r="T76" s="5"/>
      <c r="U76" s="5"/>
      <c r="V76" s="5"/>
      <c r="W76" s="5"/>
      <c r="X76" s="5"/>
      <c r="Y76" s="5"/>
      <c r="Z76" s="5"/>
      <c r="AA76" s="5"/>
    </row>
    <row r="77" spans="1:27">
      <c r="A77" s="5"/>
      <c r="B77" s="5"/>
      <c r="C77" s="5"/>
      <c r="D77" s="5"/>
      <c r="E77" s="5"/>
      <c r="F77" s="5"/>
      <c r="G77" s="5"/>
      <c r="H77" s="5"/>
      <c r="I77" s="5"/>
      <c r="J77" s="5"/>
      <c r="K77" s="5"/>
      <c r="L77" s="5"/>
      <c r="M77" s="5"/>
      <c r="N77" s="5"/>
      <c r="O77" s="5"/>
      <c r="P77" s="5"/>
      <c r="Q77" s="5"/>
      <c r="R77" s="5"/>
      <c r="S77" s="5"/>
      <c r="T77" s="5"/>
      <c r="U77" s="5"/>
      <c r="V77" s="5"/>
      <c r="W77" s="5"/>
      <c r="X77" s="5"/>
      <c r="Y77" s="5"/>
      <c r="Z77" s="5"/>
      <c r="AA77" s="5"/>
    </row>
    <row r="78" spans="1:27">
      <c r="A78" s="5"/>
      <c r="B78" s="5"/>
      <c r="C78" s="5"/>
      <c r="D78" s="5"/>
      <c r="E78" s="5"/>
      <c r="F78" s="5"/>
      <c r="G78" s="5"/>
      <c r="H78" s="5"/>
      <c r="I78" s="5"/>
      <c r="J78" s="5"/>
      <c r="K78" s="5"/>
      <c r="L78" s="5"/>
      <c r="M78" s="5"/>
      <c r="N78" s="5"/>
      <c r="O78" s="5"/>
      <c r="P78" s="5"/>
      <c r="Q78" s="5"/>
      <c r="R78" s="5"/>
      <c r="S78" s="5"/>
      <c r="T78" s="5"/>
      <c r="U78" s="5"/>
      <c r="V78" s="5"/>
      <c r="W78" s="5"/>
      <c r="X78" s="5"/>
      <c r="Y78" s="5"/>
      <c r="Z78" s="5"/>
      <c r="AA78" s="5"/>
    </row>
    <row r="79" spans="1:27">
      <c r="A79" s="5"/>
      <c r="B79" s="5"/>
      <c r="C79" s="5"/>
      <c r="D79" s="5"/>
      <c r="E79" s="5"/>
      <c r="F79" s="5"/>
      <c r="G79" s="5"/>
      <c r="H79" s="5"/>
      <c r="I79" s="5"/>
      <c r="J79" s="5"/>
      <c r="K79" s="5"/>
      <c r="L79" s="5"/>
      <c r="M79" s="5"/>
      <c r="N79" s="5"/>
      <c r="O79" s="5"/>
      <c r="P79" s="5"/>
      <c r="Q79" s="5"/>
      <c r="R79" s="5"/>
      <c r="S79" s="5"/>
      <c r="T79" s="5"/>
      <c r="U79" s="5"/>
      <c r="V79" s="5"/>
      <c r="W79" s="5"/>
      <c r="X79" s="5"/>
      <c r="Y79" s="5"/>
      <c r="Z79" s="5"/>
      <c r="AA79" s="5"/>
    </row>
    <row r="80" spans="1:27">
      <c r="A80" s="5"/>
      <c r="B80" s="5"/>
      <c r="C80" s="5"/>
      <c r="D80" s="5"/>
      <c r="E80" s="5"/>
      <c r="F80" s="5"/>
      <c r="G80" s="5"/>
      <c r="H80" s="5"/>
      <c r="I80" s="5"/>
      <c r="J80" s="5"/>
      <c r="K80" s="5"/>
      <c r="L80" s="5"/>
      <c r="M80" s="5"/>
      <c r="N80" s="5"/>
      <c r="O80" s="5"/>
      <c r="P80" s="5"/>
      <c r="Q80" s="5"/>
      <c r="R80" s="5"/>
      <c r="S80" s="5"/>
      <c r="T80" s="5"/>
      <c r="U80" s="5"/>
      <c r="V80" s="5"/>
      <c r="W80" s="5"/>
      <c r="X80" s="5"/>
      <c r="Y80" s="5"/>
      <c r="Z80" s="5"/>
      <c r="AA80" s="5"/>
    </row>
    <row r="81" spans="1:27">
      <c r="A81" s="5"/>
      <c r="B81" s="5"/>
      <c r="C81" s="5"/>
      <c r="D81" s="5"/>
      <c r="E81" s="5"/>
      <c r="F81" s="5"/>
      <c r="G81" s="5"/>
      <c r="H81" s="5"/>
      <c r="I81" s="5"/>
      <c r="J81" s="5"/>
      <c r="K81" s="5"/>
      <c r="L81" s="5"/>
      <c r="M81" s="5"/>
      <c r="N81" s="5"/>
      <c r="O81" s="5"/>
      <c r="P81" s="5"/>
      <c r="Q81" s="5"/>
      <c r="R81" s="5"/>
      <c r="S81" s="5"/>
      <c r="T81" s="5"/>
      <c r="U81" s="5"/>
      <c r="V81" s="5"/>
      <c r="W81" s="5"/>
      <c r="X81" s="5"/>
      <c r="Y81" s="5"/>
      <c r="Z81" s="5"/>
      <c r="AA81" s="5"/>
    </row>
    <row r="82" spans="1:27">
      <c r="A82" s="5"/>
      <c r="B82" s="5"/>
      <c r="C82" s="5"/>
      <c r="D82" s="5"/>
      <c r="E82" s="5"/>
      <c r="F82" s="5"/>
      <c r="G82" s="5"/>
      <c r="H82" s="5"/>
      <c r="I82" s="5"/>
      <c r="J82" s="5"/>
      <c r="K82" s="5"/>
      <c r="L82" s="5"/>
      <c r="M82" s="5"/>
      <c r="N82" s="5"/>
      <c r="O82" s="5"/>
      <c r="P82" s="5"/>
      <c r="Q82" s="5"/>
      <c r="R82" s="5"/>
      <c r="S82" s="5"/>
      <c r="T82" s="5"/>
      <c r="U82" s="5"/>
      <c r="V82" s="5"/>
      <c r="W82" s="5"/>
      <c r="X82" s="5"/>
      <c r="Y82" s="5"/>
      <c r="Z82" s="5"/>
      <c r="AA82" s="5"/>
    </row>
    <row r="83" spans="1:27">
      <c r="A83" s="5"/>
      <c r="B83" s="5"/>
      <c r="C83" s="5"/>
      <c r="D83" s="5"/>
      <c r="E83" s="5"/>
      <c r="F83" s="5"/>
      <c r="G83" s="5"/>
      <c r="H83" s="5"/>
      <c r="I83" s="5"/>
      <c r="J83" s="5"/>
      <c r="K83" s="5"/>
      <c r="L83" s="5"/>
      <c r="M83" s="5"/>
      <c r="N83" s="5"/>
      <c r="O83" s="5"/>
      <c r="P83" s="5"/>
      <c r="Q83" s="5"/>
      <c r="R83" s="5"/>
      <c r="S83" s="5"/>
      <c r="T83" s="5"/>
      <c r="U83" s="5"/>
      <c r="V83" s="5"/>
      <c r="W83" s="5"/>
      <c r="X83" s="5"/>
      <c r="Y83" s="5"/>
      <c r="Z83" s="5"/>
      <c r="AA83" s="5"/>
    </row>
    <row r="84" spans="1:27">
      <c r="A84" s="5"/>
      <c r="B84" s="5"/>
      <c r="C84" s="5"/>
      <c r="D84" s="5"/>
      <c r="E84" s="5"/>
      <c r="F84" s="5"/>
      <c r="G84" s="5"/>
      <c r="H84" s="5"/>
      <c r="I84" s="5"/>
      <c r="J84" s="5"/>
      <c r="K84" s="5"/>
      <c r="L84" s="5"/>
      <c r="M84" s="5"/>
      <c r="N84" s="5"/>
      <c r="O84" s="5"/>
      <c r="P84" s="5"/>
      <c r="Q84" s="5"/>
      <c r="R84" s="5"/>
      <c r="S84" s="5"/>
      <c r="T84" s="5"/>
      <c r="U84" s="5"/>
      <c r="V84" s="5"/>
      <c r="W84" s="5"/>
      <c r="X84" s="5"/>
      <c r="Y84" s="5"/>
      <c r="Z84" s="5"/>
      <c r="AA84" s="5"/>
    </row>
    <row r="85" spans="1:27">
      <c r="A85" s="5"/>
      <c r="B85" s="5"/>
      <c r="C85" s="5"/>
      <c r="D85" s="5"/>
      <c r="E85" s="5"/>
      <c r="F85" s="5"/>
      <c r="G85" s="5"/>
      <c r="H85" s="5"/>
      <c r="I85" s="5"/>
      <c r="J85" s="5"/>
      <c r="K85" s="5"/>
      <c r="L85" s="5"/>
      <c r="M85" s="5"/>
      <c r="N85" s="5"/>
      <c r="O85" s="5"/>
      <c r="P85" s="5"/>
      <c r="Q85" s="5"/>
      <c r="R85" s="5"/>
      <c r="S85" s="5"/>
      <c r="T85" s="5"/>
      <c r="U85" s="5"/>
      <c r="V85" s="5"/>
      <c r="W85" s="5"/>
      <c r="X85" s="5"/>
      <c r="Y85" s="5"/>
      <c r="Z85" s="5"/>
      <c r="AA85" s="5"/>
    </row>
    <row r="86" spans="1:27">
      <c r="A86" s="5"/>
      <c r="B86" s="5"/>
      <c r="C86" s="5"/>
      <c r="D86" s="5"/>
      <c r="E86" s="5"/>
      <c r="F86" s="5"/>
      <c r="G86" s="5"/>
      <c r="H86" s="5"/>
      <c r="I86" s="5"/>
      <c r="J86" s="5"/>
      <c r="K86" s="5"/>
      <c r="L86" s="5"/>
      <c r="M86" s="5"/>
      <c r="N86" s="5"/>
      <c r="O86" s="5"/>
      <c r="P86" s="5"/>
      <c r="Q86" s="5"/>
      <c r="R86" s="5"/>
      <c r="S86" s="5"/>
      <c r="T86" s="5"/>
      <c r="U86" s="5"/>
      <c r="V86" s="5"/>
      <c r="W86" s="5"/>
      <c r="X86" s="5"/>
      <c r="Y86" s="5"/>
      <c r="Z86" s="5"/>
      <c r="AA86" s="5"/>
    </row>
    <row r="87" spans="1:27">
      <c r="A87" s="5"/>
      <c r="B87" s="5"/>
      <c r="C87" s="5"/>
      <c r="D87" s="5"/>
      <c r="E87" s="5"/>
      <c r="F87" s="5"/>
      <c r="G87" s="5"/>
      <c r="H87" s="5"/>
      <c r="I87" s="5"/>
      <c r="J87" s="5"/>
      <c r="K87" s="5"/>
      <c r="L87" s="5"/>
      <c r="M87" s="5"/>
      <c r="N87" s="5"/>
      <c r="O87" s="5"/>
      <c r="P87" s="5"/>
      <c r="Q87" s="5"/>
      <c r="R87" s="5"/>
      <c r="S87" s="5"/>
      <c r="T87" s="5"/>
      <c r="U87" s="5"/>
      <c r="V87" s="5"/>
      <c r="W87" s="5"/>
      <c r="X87" s="5"/>
      <c r="Y87" s="5"/>
      <c r="Z87" s="5"/>
      <c r="AA87" s="5"/>
    </row>
    <row r="88" spans="1:27">
      <c r="A88" s="5"/>
      <c r="B88" s="5"/>
      <c r="C88" s="5"/>
      <c r="D88" s="5"/>
      <c r="E88" s="5"/>
      <c r="F88" s="5"/>
      <c r="G88" s="5"/>
      <c r="H88" s="5"/>
      <c r="I88" s="5"/>
      <c r="J88" s="5"/>
      <c r="K88" s="5"/>
      <c r="L88" s="5"/>
      <c r="M88" s="5"/>
      <c r="N88" s="5"/>
      <c r="O88" s="5"/>
      <c r="P88" s="5"/>
      <c r="Q88" s="5"/>
      <c r="R88" s="5"/>
      <c r="S88" s="5"/>
      <c r="T88" s="5"/>
      <c r="U88" s="5"/>
      <c r="V88" s="5"/>
      <c r="W88" s="5"/>
      <c r="X88" s="5"/>
      <c r="Y88" s="5"/>
      <c r="Z88" s="5"/>
      <c r="AA88" s="5"/>
    </row>
    <row r="89" spans="1:27">
      <c r="A89" s="5"/>
      <c r="B89" s="5"/>
      <c r="C89" s="5"/>
      <c r="D89" s="5"/>
      <c r="E89" s="5"/>
      <c r="F89" s="5"/>
      <c r="G89" s="5"/>
      <c r="H89" s="5"/>
      <c r="I89" s="5"/>
      <c r="J89" s="5"/>
      <c r="K89" s="5"/>
      <c r="L89" s="5"/>
      <c r="M89" s="5"/>
      <c r="N89" s="5"/>
      <c r="O89" s="5"/>
      <c r="P89" s="5"/>
      <c r="Q89" s="5"/>
      <c r="R89" s="5"/>
      <c r="S89" s="5"/>
      <c r="T89" s="5"/>
      <c r="U89" s="5"/>
      <c r="V89" s="5"/>
      <c r="W89" s="5"/>
      <c r="X89" s="5"/>
      <c r="Y89" s="5"/>
      <c r="Z89" s="5"/>
      <c r="AA89" s="5"/>
    </row>
    <row r="90" spans="1:27">
      <c r="A90" s="5"/>
      <c r="B90" s="5"/>
      <c r="C90" s="5"/>
      <c r="D90" s="5"/>
      <c r="E90" s="5"/>
      <c r="F90" s="5"/>
      <c r="G90" s="5"/>
      <c r="H90" s="5"/>
      <c r="I90" s="5"/>
      <c r="J90" s="5"/>
      <c r="K90" s="5"/>
      <c r="L90" s="5"/>
      <c r="M90" s="5"/>
      <c r="N90" s="5"/>
      <c r="O90" s="5"/>
      <c r="P90" s="5"/>
      <c r="Q90" s="5"/>
      <c r="R90" s="5"/>
      <c r="S90" s="5"/>
      <c r="T90" s="5"/>
      <c r="U90" s="5"/>
      <c r="V90" s="5"/>
      <c r="W90" s="5"/>
      <c r="X90" s="5"/>
      <c r="Y90" s="5"/>
      <c r="Z90" s="5"/>
      <c r="AA90" s="5"/>
    </row>
    <row r="91" spans="1:27">
      <c r="A91" s="5"/>
      <c r="B91" s="5"/>
      <c r="C91" s="5"/>
      <c r="D91" s="5"/>
      <c r="E91" s="5"/>
      <c r="F91" s="5"/>
      <c r="G91" s="5"/>
      <c r="H91" s="5"/>
      <c r="I91" s="5"/>
      <c r="J91" s="5"/>
      <c r="K91" s="5"/>
      <c r="L91" s="5"/>
      <c r="M91" s="5"/>
      <c r="N91" s="5"/>
      <c r="O91" s="5"/>
      <c r="P91" s="5"/>
      <c r="Q91" s="5"/>
      <c r="R91" s="5"/>
      <c r="S91" s="5"/>
      <c r="T91" s="5"/>
      <c r="U91" s="5"/>
      <c r="V91" s="5"/>
      <c r="W91" s="5"/>
      <c r="X91" s="5"/>
      <c r="Y91" s="5"/>
      <c r="Z91" s="5"/>
      <c r="AA91" s="5"/>
    </row>
    <row r="92" spans="1:27">
      <c r="A92" s="5"/>
      <c r="B92" s="5"/>
      <c r="C92" s="5"/>
      <c r="D92" s="5"/>
      <c r="E92" s="5"/>
      <c r="F92" s="5"/>
      <c r="G92" s="5"/>
      <c r="H92" s="5"/>
      <c r="I92" s="5"/>
      <c r="J92" s="5"/>
      <c r="K92" s="5"/>
      <c r="L92" s="5"/>
      <c r="M92" s="5"/>
      <c r="N92" s="5"/>
      <c r="O92" s="5"/>
      <c r="P92" s="5"/>
      <c r="Q92" s="5"/>
      <c r="R92" s="5"/>
      <c r="S92" s="5"/>
      <c r="T92" s="5"/>
      <c r="U92" s="5"/>
      <c r="V92" s="5"/>
      <c r="W92" s="5"/>
      <c r="X92" s="5"/>
      <c r="Y92" s="5"/>
      <c r="Z92" s="5"/>
      <c r="AA92" s="5"/>
    </row>
    <row r="93" spans="1:27">
      <c r="A93" s="5"/>
      <c r="B93" s="5"/>
      <c r="C93" s="5"/>
      <c r="D93" s="5"/>
      <c r="E93" s="5"/>
      <c r="F93" s="5"/>
      <c r="G93" s="5"/>
      <c r="H93" s="5"/>
      <c r="I93" s="5"/>
      <c r="J93" s="5"/>
      <c r="K93" s="5"/>
      <c r="L93" s="5"/>
      <c r="M93" s="5"/>
      <c r="N93" s="5"/>
      <c r="O93" s="5"/>
      <c r="P93" s="5"/>
      <c r="Q93" s="5"/>
      <c r="R93" s="5"/>
      <c r="S93" s="5"/>
      <c r="T93" s="5"/>
      <c r="U93" s="5"/>
      <c r="V93" s="5"/>
      <c r="W93" s="5"/>
      <c r="X93" s="5"/>
      <c r="Y93" s="5"/>
      <c r="Z93" s="5"/>
      <c r="AA93" s="5"/>
    </row>
    <row r="94" spans="1:27">
      <c r="A94" s="5"/>
      <c r="B94" s="5"/>
      <c r="C94" s="5"/>
      <c r="D94" s="5"/>
      <c r="E94" s="5"/>
      <c r="F94" s="5"/>
      <c r="G94" s="5"/>
      <c r="H94" s="5"/>
      <c r="I94" s="5"/>
      <c r="J94" s="5"/>
      <c r="K94" s="5"/>
      <c r="L94" s="5"/>
      <c r="M94" s="5"/>
      <c r="N94" s="5"/>
      <c r="O94" s="5"/>
      <c r="P94" s="5"/>
      <c r="Q94" s="5"/>
      <c r="R94" s="5"/>
      <c r="S94" s="5"/>
      <c r="T94" s="5"/>
      <c r="U94" s="5"/>
      <c r="V94" s="5"/>
      <c r="W94" s="5"/>
      <c r="X94" s="5"/>
      <c r="Y94" s="5"/>
      <c r="Z94" s="5"/>
      <c r="AA94" s="5"/>
    </row>
    <row r="95" spans="1:27">
      <c r="A95" s="5"/>
      <c r="B95" s="5"/>
      <c r="C95" s="5"/>
      <c r="D95" s="5"/>
      <c r="E95" s="5"/>
      <c r="F95" s="5"/>
      <c r="G95" s="5"/>
      <c r="H95" s="5"/>
      <c r="I95" s="5"/>
      <c r="J95" s="5"/>
      <c r="K95" s="5"/>
      <c r="L95" s="5"/>
      <c r="M95" s="5"/>
      <c r="N95" s="5"/>
      <c r="O95" s="5"/>
      <c r="P95" s="5"/>
      <c r="Q95" s="5"/>
      <c r="R95" s="5"/>
      <c r="S95" s="5"/>
      <c r="T95" s="5"/>
      <c r="U95" s="5"/>
      <c r="V95" s="5"/>
      <c r="W95" s="5"/>
      <c r="X95" s="5"/>
      <c r="Y95" s="5"/>
      <c r="Z95" s="5"/>
      <c r="AA95" s="5"/>
    </row>
    <row r="96" spans="1:27">
      <c r="A96" s="5"/>
      <c r="B96" s="5"/>
      <c r="C96" s="5"/>
      <c r="D96" s="5"/>
      <c r="E96" s="5"/>
      <c r="F96" s="5"/>
      <c r="G96" s="5"/>
      <c r="H96" s="5"/>
      <c r="I96" s="5"/>
      <c r="J96" s="5"/>
      <c r="K96" s="5"/>
      <c r="L96" s="5"/>
      <c r="M96" s="5"/>
      <c r="N96" s="5"/>
      <c r="O96" s="5"/>
      <c r="P96" s="5"/>
      <c r="Q96" s="5"/>
      <c r="R96" s="5"/>
      <c r="S96" s="5"/>
      <c r="T96" s="5"/>
      <c r="U96" s="5"/>
      <c r="V96" s="5"/>
      <c r="W96" s="5"/>
      <c r="X96" s="5"/>
      <c r="Y96" s="5"/>
      <c r="Z96" s="5"/>
      <c r="AA96" s="5"/>
    </row>
    <row r="97" spans="1:27">
      <c r="A97" s="5"/>
      <c r="B97" s="5"/>
      <c r="C97" s="5"/>
      <c r="D97" s="5"/>
      <c r="E97" s="5"/>
      <c r="F97" s="5"/>
      <c r="G97" s="5"/>
      <c r="H97" s="5"/>
      <c r="I97" s="5"/>
      <c r="J97" s="5"/>
      <c r="K97" s="5"/>
      <c r="L97" s="5"/>
      <c r="M97" s="5"/>
      <c r="N97" s="5"/>
      <c r="O97" s="5"/>
      <c r="P97" s="5"/>
      <c r="Q97" s="5"/>
      <c r="R97" s="5"/>
      <c r="S97" s="5"/>
      <c r="T97" s="5"/>
      <c r="U97" s="5"/>
      <c r="V97" s="5"/>
      <c r="W97" s="5"/>
      <c r="X97" s="5"/>
      <c r="Y97" s="5"/>
      <c r="Z97" s="5"/>
      <c r="AA97" s="5"/>
    </row>
    <row r="98" spans="1:27">
      <c r="A98" s="5"/>
      <c r="B98" s="5"/>
      <c r="C98" s="5"/>
      <c r="D98" s="5"/>
      <c r="E98" s="5"/>
      <c r="F98" s="5"/>
      <c r="G98" s="5"/>
      <c r="H98" s="5"/>
      <c r="I98" s="5"/>
      <c r="J98" s="5"/>
      <c r="K98" s="5"/>
      <c r="L98" s="5"/>
      <c r="M98" s="5"/>
      <c r="N98" s="5"/>
      <c r="O98" s="5"/>
      <c r="P98" s="5"/>
      <c r="Q98" s="5"/>
      <c r="R98" s="5"/>
      <c r="S98" s="5"/>
      <c r="T98" s="5"/>
      <c r="U98" s="5"/>
      <c r="V98" s="5"/>
      <c r="W98" s="5"/>
      <c r="X98" s="5"/>
      <c r="Y98" s="5"/>
      <c r="Z98" s="5"/>
      <c r="AA98" s="5"/>
    </row>
    <row r="99" spans="1:27">
      <c r="A99" s="5"/>
      <c r="B99" s="5"/>
      <c r="C99" s="5"/>
      <c r="D99" s="5"/>
      <c r="E99" s="5"/>
      <c r="F99" s="5"/>
      <c r="G99" s="5"/>
      <c r="H99" s="5"/>
      <c r="I99" s="5"/>
      <c r="J99" s="5"/>
      <c r="K99" s="5"/>
      <c r="L99" s="5"/>
      <c r="M99" s="5"/>
      <c r="N99" s="5"/>
      <c r="O99" s="5"/>
      <c r="P99" s="5"/>
      <c r="Q99" s="5"/>
      <c r="R99" s="5"/>
      <c r="S99" s="5"/>
      <c r="T99" s="5"/>
      <c r="U99" s="5"/>
      <c r="V99" s="5"/>
      <c r="W99" s="5"/>
      <c r="X99" s="5"/>
      <c r="Y99" s="5"/>
      <c r="Z99" s="5"/>
      <c r="AA99" s="5"/>
    </row>
    <row r="100" spans="1:27">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spans="1:27">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spans="1:27">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spans="1:27">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spans="1:27">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spans="1:27">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spans="1:27">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spans="1:27">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spans="1:27">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spans="1:27">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spans="1:27">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spans="1:27">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spans="1:27">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spans="1:27">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spans="1:27">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spans="1:27">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spans="1:27">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spans="1:27">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spans="1:27">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spans="1:27">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spans="1:27">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spans="1:27">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spans="1:27">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spans="1:27">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spans="1:27">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spans="1:27">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spans="1:27">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spans="1:27">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spans="1:27">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spans="1:27">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spans="1:27">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spans="1:27">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spans="1:27">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spans="1:27">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spans="1:27">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spans="1:27">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spans="1:27">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spans="1:27">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spans="1:27">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spans="1:27">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spans="1:27">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spans="1:27">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spans="1:27">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spans="1:27">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spans="1:27">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spans="1:27">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spans="1:27">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spans="1:27">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spans="1:27">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spans="1:27">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spans="1:27">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spans="1:27">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spans="1:27">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spans="1:27">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spans="1:27">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spans="1:27">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spans="1:27">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spans="1:27">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spans="1:27">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spans="1:27">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spans="1:27">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spans="1:27">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spans="1:27">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spans="1:27">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spans="1:27">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spans="1:27">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spans="1:27">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spans="1:27">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spans="1:27">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spans="1:27">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spans="1:27">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spans="1:27">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spans="1:27">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spans="1:27">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spans="1:27">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spans="1:27">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spans="1:27">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spans="1:27">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spans="1:27">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spans="1:27">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spans="1:27">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spans="1:27">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spans="1:27">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spans="1:27">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spans="1:27">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spans="1:27">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spans="1:27">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spans="1:27">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spans="1:27">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spans="1:27">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spans="1:27">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spans="1:27">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spans="1:27">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spans="1:27">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spans="1:27">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spans="1:27">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spans="1:27">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spans="1:27">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spans="1:27">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spans="1:27">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spans="1:27">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spans="1:27">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spans="1:27">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spans="1:27">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spans="1:27">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sheetData>
  <mergeCells count="2">
    <mergeCell ref="A1:H1"/>
    <mergeCell ref="A2:H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00"/>
  <sheetViews>
    <sheetView workbookViewId="0">
      <selection sqref="A1:F1"/>
    </sheetView>
  </sheetViews>
  <sheetFormatPr defaultRowHeight="14.25"/>
  <cols>
    <col min="1" max="1" width="34" customWidth="1"/>
    <col min="2" max="2" width="18" customWidth="1"/>
    <col min="3" max="3" width="40" customWidth="1"/>
    <col min="4" max="4" width="22" customWidth="1"/>
    <col min="5" max="5" width="10" customWidth="1"/>
    <col min="6" max="6" width="28" customWidth="1"/>
  </cols>
  <sheetData>
    <row r="1" spans="1:26" ht="27.95" customHeight="1">
      <c r="A1" s="138" t="s">
        <v>330</v>
      </c>
      <c r="B1" s="138"/>
      <c r="C1" s="138"/>
      <c r="D1" s="138"/>
      <c r="E1" s="138"/>
      <c r="F1" s="138"/>
      <c r="G1" s="5"/>
      <c r="H1" s="5"/>
      <c r="I1" s="5"/>
      <c r="J1" s="5"/>
      <c r="K1" s="5"/>
      <c r="L1" s="5"/>
      <c r="M1" s="5"/>
      <c r="N1" s="5"/>
      <c r="O1" s="5"/>
      <c r="P1" s="5"/>
      <c r="Q1" s="5"/>
      <c r="R1" s="5"/>
      <c r="S1" s="5"/>
      <c r="T1" s="5"/>
      <c r="U1" s="5"/>
      <c r="V1" s="5"/>
      <c r="W1" s="5"/>
      <c r="X1" s="5"/>
      <c r="Y1" s="5"/>
      <c r="Z1" s="5"/>
    </row>
    <row r="2" spans="1:26" ht="32.1" customHeight="1">
      <c r="A2" s="139" t="s">
        <v>331</v>
      </c>
      <c r="B2" s="139"/>
      <c r="C2" s="139"/>
      <c r="D2" s="139"/>
      <c r="E2" s="139"/>
      <c r="F2" s="139"/>
      <c r="G2" s="5"/>
      <c r="H2" s="5"/>
      <c r="I2" s="5"/>
      <c r="J2" s="5"/>
      <c r="K2" s="5"/>
      <c r="L2" s="5"/>
      <c r="M2" s="5"/>
      <c r="N2" s="5"/>
      <c r="O2" s="5"/>
      <c r="P2" s="5"/>
      <c r="Q2" s="5"/>
      <c r="R2" s="5"/>
      <c r="S2" s="5"/>
      <c r="T2" s="5"/>
      <c r="U2" s="5"/>
      <c r="V2" s="5"/>
      <c r="W2" s="5"/>
      <c r="X2" s="5"/>
      <c r="Y2" s="5"/>
      <c r="Z2" s="5"/>
    </row>
    <row r="3" spans="1:26">
      <c r="A3" s="5"/>
      <c r="B3" s="5"/>
      <c r="C3" s="5"/>
      <c r="D3" s="5"/>
      <c r="E3" s="5"/>
      <c r="F3" s="5"/>
      <c r="G3" s="5"/>
      <c r="H3" s="5"/>
      <c r="I3" s="5"/>
      <c r="J3" s="5"/>
      <c r="K3" s="5"/>
      <c r="L3" s="5"/>
      <c r="M3" s="5"/>
      <c r="N3" s="5"/>
      <c r="O3" s="5"/>
      <c r="P3" s="5"/>
      <c r="Q3" s="5"/>
      <c r="R3" s="5"/>
      <c r="S3" s="5"/>
      <c r="T3" s="5"/>
      <c r="U3" s="5"/>
      <c r="V3" s="5"/>
      <c r="W3" s="5"/>
      <c r="X3" s="5"/>
      <c r="Y3" s="5"/>
      <c r="Z3" s="5"/>
    </row>
    <row r="4" spans="1:26" ht="15">
      <c r="A4" s="2" t="s">
        <v>3</v>
      </c>
      <c r="B4" s="2" t="s">
        <v>4</v>
      </c>
      <c r="C4" s="2" t="s">
        <v>332</v>
      </c>
      <c r="D4" s="2" t="s">
        <v>333</v>
      </c>
      <c r="E4" s="2" t="s">
        <v>63</v>
      </c>
      <c r="F4" s="2" t="s">
        <v>334</v>
      </c>
      <c r="G4" s="5"/>
      <c r="H4" s="5"/>
      <c r="I4" s="5"/>
      <c r="J4" s="5"/>
      <c r="K4" s="5"/>
      <c r="L4" s="5"/>
      <c r="M4" s="5"/>
      <c r="N4" s="5"/>
      <c r="O4" s="5"/>
      <c r="P4" s="5"/>
      <c r="Q4" s="5"/>
      <c r="R4" s="5"/>
      <c r="S4" s="5"/>
      <c r="T4" s="5"/>
      <c r="U4" s="5"/>
      <c r="V4" s="5"/>
      <c r="W4" s="5"/>
      <c r="X4" s="5"/>
      <c r="Y4" s="5"/>
      <c r="Z4" s="5"/>
    </row>
    <row r="5" spans="1:26">
      <c r="A5" s="5" t="s">
        <v>335</v>
      </c>
      <c r="B5" s="38">
        <f>SolEl_CS!J9</f>
        <v>290</v>
      </c>
      <c r="C5" s="3" t="s">
        <v>336</v>
      </c>
      <c r="D5" s="3" t="s">
        <v>337</v>
      </c>
      <c r="E5" s="3" t="s">
        <v>69</v>
      </c>
      <c r="F5" s="3" t="s">
        <v>338</v>
      </c>
      <c r="G5" s="5"/>
      <c r="H5" s="5"/>
      <c r="I5" s="5"/>
      <c r="J5" s="5"/>
      <c r="K5" s="5"/>
      <c r="L5" s="5"/>
      <c r="M5" s="5"/>
      <c r="N5" s="5"/>
      <c r="O5" s="5"/>
      <c r="P5" s="5"/>
      <c r="Q5" s="5"/>
      <c r="R5" s="5"/>
      <c r="S5" s="5"/>
      <c r="T5" s="5"/>
      <c r="U5" s="5"/>
      <c r="V5" s="5"/>
      <c r="W5" s="5"/>
      <c r="X5" s="5"/>
      <c r="Y5" s="5"/>
      <c r="Z5" s="5"/>
    </row>
    <row r="6" spans="1:26">
      <c r="A6" s="5" t="s">
        <v>339</v>
      </c>
      <c r="B6" s="38" t="str">
        <f>SolEl_CS!J10</f>
        <v>Yes</v>
      </c>
      <c r="C6" s="3" t="s">
        <v>340</v>
      </c>
      <c r="D6" s="3" t="s">
        <v>341</v>
      </c>
      <c r="E6" s="3" t="s">
        <v>69</v>
      </c>
      <c r="F6" s="3" t="s">
        <v>342</v>
      </c>
      <c r="G6" s="5"/>
      <c r="H6" s="5"/>
      <c r="I6" s="5"/>
      <c r="J6" s="5"/>
      <c r="K6" s="5"/>
      <c r="L6" s="5"/>
      <c r="M6" s="5"/>
      <c r="N6" s="5"/>
      <c r="O6" s="5"/>
      <c r="P6" s="5"/>
      <c r="Q6" s="5"/>
      <c r="R6" s="5"/>
      <c r="S6" s="5"/>
      <c r="T6" s="5"/>
      <c r="U6" s="5"/>
      <c r="V6" s="5"/>
      <c r="W6" s="5"/>
      <c r="X6" s="5"/>
      <c r="Y6" s="5"/>
      <c r="Z6" s="5"/>
    </row>
    <row r="7" spans="1:26">
      <c r="A7" s="5" t="s">
        <v>343</v>
      </c>
      <c r="B7" s="38">
        <f>SolEl_CS!J13</f>
        <v>15</v>
      </c>
      <c r="C7" s="3" t="s">
        <v>336</v>
      </c>
      <c r="D7" s="3" t="s">
        <v>344</v>
      </c>
      <c r="E7" s="3" t="s">
        <v>69</v>
      </c>
      <c r="F7" s="3" t="s">
        <v>342</v>
      </c>
      <c r="G7" s="5"/>
      <c r="H7" s="5"/>
      <c r="I7" s="5"/>
      <c r="J7" s="5"/>
      <c r="K7" s="5"/>
      <c r="L7" s="5"/>
      <c r="M7" s="5"/>
      <c r="N7" s="5"/>
      <c r="O7" s="5"/>
      <c r="P7" s="5"/>
      <c r="Q7" s="5"/>
      <c r="R7" s="5"/>
      <c r="S7" s="5"/>
      <c r="T7" s="5"/>
      <c r="U7" s="5"/>
      <c r="V7" s="5"/>
      <c r="W7" s="5"/>
      <c r="X7" s="5"/>
      <c r="Y7" s="5"/>
      <c r="Z7" s="5"/>
    </row>
    <row r="8" spans="1:26">
      <c r="A8" s="5" t="s">
        <v>345</v>
      </c>
      <c r="B8" s="38">
        <f>SolEl_CS!J14</f>
        <v>0</v>
      </c>
      <c r="C8" s="3" t="s">
        <v>336</v>
      </c>
      <c r="D8" s="3" t="s">
        <v>346</v>
      </c>
      <c r="E8" s="3" t="s">
        <v>69</v>
      </c>
      <c r="F8" s="3" t="s">
        <v>342</v>
      </c>
      <c r="G8" s="5"/>
      <c r="H8" s="5"/>
      <c r="I8" s="5"/>
      <c r="J8" s="5"/>
      <c r="K8" s="5"/>
      <c r="L8" s="5"/>
      <c r="M8" s="5"/>
      <c r="N8" s="5"/>
      <c r="O8" s="5"/>
      <c r="P8" s="5"/>
      <c r="Q8" s="5"/>
      <c r="R8" s="5"/>
      <c r="S8" s="5"/>
      <c r="T8" s="5"/>
      <c r="U8" s="5"/>
      <c r="V8" s="5"/>
      <c r="W8" s="5"/>
      <c r="X8" s="5"/>
      <c r="Y8" s="5"/>
      <c r="Z8" s="5"/>
    </row>
    <row r="9" spans="1:26">
      <c r="A9" s="5" t="s">
        <v>347</v>
      </c>
      <c r="B9" s="38">
        <f>SolEl_CS!J19</f>
        <v>364.90000000000003</v>
      </c>
      <c r="C9" s="3" t="s">
        <v>348</v>
      </c>
      <c r="D9" s="3" t="s">
        <v>349</v>
      </c>
      <c r="E9" s="3" t="s">
        <v>69</v>
      </c>
      <c r="F9" s="3" t="s">
        <v>342</v>
      </c>
      <c r="G9" s="5"/>
      <c r="H9" s="5"/>
      <c r="I9" s="5"/>
      <c r="J9" s="5"/>
      <c r="K9" s="5"/>
      <c r="L9" s="5"/>
      <c r="M9" s="5"/>
      <c r="N9" s="5"/>
      <c r="O9" s="5"/>
      <c r="P9" s="5"/>
      <c r="Q9" s="5"/>
      <c r="R9" s="5"/>
      <c r="S9" s="5"/>
      <c r="T9" s="5"/>
      <c r="U9" s="5"/>
      <c r="V9" s="5"/>
      <c r="W9" s="5"/>
      <c r="X9" s="5"/>
      <c r="Y9" s="5"/>
      <c r="Z9" s="5"/>
    </row>
    <row r="10" spans="1:26">
      <c r="A10" s="5" t="s">
        <v>350</v>
      </c>
      <c r="B10" s="38">
        <f>SolEl_CS!J20</f>
        <v>427.29790000000003</v>
      </c>
      <c r="C10" s="3" t="s">
        <v>348</v>
      </c>
      <c r="D10" s="3" t="s">
        <v>351</v>
      </c>
      <c r="E10" s="3" t="s">
        <v>69</v>
      </c>
      <c r="F10" s="3" t="s">
        <v>342</v>
      </c>
      <c r="G10" s="5"/>
      <c r="H10" s="5"/>
      <c r="I10" s="5"/>
      <c r="J10" s="5"/>
      <c r="K10" s="5"/>
      <c r="L10" s="5"/>
      <c r="M10" s="5"/>
      <c r="N10" s="5"/>
      <c r="O10" s="5"/>
      <c r="P10" s="5"/>
      <c r="Q10" s="5"/>
      <c r="R10" s="5"/>
      <c r="S10" s="5"/>
      <c r="T10" s="5"/>
      <c r="U10" s="5"/>
      <c r="V10" s="5"/>
      <c r="W10" s="5"/>
      <c r="X10" s="5"/>
      <c r="Y10" s="5"/>
      <c r="Z10" s="5"/>
    </row>
    <row r="11" spans="1:26">
      <c r="A11" s="5" t="s">
        <v>352</v>
      </c>
      <c r="B11" s="38">
        <f>SolEl_CS!J21</f>
        <v>512.75747999999999</v>
      </c>
      <c r="C11" s="3" t="s">
        <v>348</v>
      </c>
      <c r="D11" s="3" t="s">
        <v>353</v>
      </c>
      <c r="E11" s="3" t="s">
        <v>69</v>
      </c>
      <c r="F11" s="3" t="s">
        <v>342</v>
      </c>
      <c r="G11" s="5"/>
      <c r="H11" s="5"/>
      <c r="I11" s="5"/>
      <c r="J11" s="5"/>
      <c r="K11" s="5"/>
      <c r="L11" s="5"/>
      <c r="M11" s="5"/>
      <c r="N11" s="5"/>
      <c r="O11" s="5"/>
      <c r="P11" s="5"/>
      <c r="Q11" s="5"/>
      <c r="R11" s="5"/>
      <c r="S11" s="5"/>
      <c r="T11" s="5"/>
      <c r="U11" s="5"/>
      <c r="V11" s="5"/>
      <c r="W11" s="5"/>
      <c r="X11" s="5"/>
      <c r="Y11" s="5"/>
      <c r="Z11" s="5"/>
    </row>
    <row r="12" spans="1:26" ht="28.5">
      <c r="A12" s="5" t="s">
        <v>354</v>
      </c>
      <c r="B12" s="38">
        <f>SolEl_CS!J22</f>
        <v>520.44884219999994</v>
      </c>
      <c r="C12" s="3" t="s">
        <v>355</v>
      </c>
      <c r="D12" s="3" t="s">
        <v>356</v>
      </c>
      <c r="E12" s="3" t="s">
        <v>69</v>
      </c>
      <c r="F12" s="3" t="s">
        <v>357</v>
      </c>
      <c r="G12" s="5"/>
      <c r="H12" s="5"/>
      <c r="I12" s="5"/>
      <c r="J12" s="5"/>
      <c r="K12" s="5"/>
      <c r="L12" s="5"/>
      <c r="M12" s="5"/>
      <c r="N12" s="5"/>
      <c r="O12" s="5"/>
      <c r="P12" s="5"/>
      <c r="Q12" s="5"/>
      <c r="R12" s="5"/>
      <c r="S12" s="5"/>
      <c r="T12" s="5"/>
      <c r="U12" s="5"/>
      <c r="V12" s="5"/>
      <c r="W12" s="5"/>
      <c r="X12" s="5"/>
      <c r="Y12" s="5"/>
      <c r="Z12" s="5"/>
    </row>
    <row r="13" spans="1:26">
      <c r="A13" s="5" t="s">
        <v>358</v>
      </c>
      <c r="B13" s="38">
        <f>SolEl_CS!J23</f>
        <v>195</v>
      </c>
      <c r="C13" s="3" t="s">
        <v>348</v>
      </c>
      <c r="D13" s="3" t="s">
        <v>359</v>
      </c>
      <c r="E13" s="3" t="s">
        <v>69</v>
      </c>
      <c r="F13" s="3" t="s">
        <v>342</v>
      </c>
      <c r="G13" s="5"/>
      <c r="H13" s="5"/>
      <c r="I13" s="5"/>
      <c r="J13" s="5"/>
      <c r="K13" s="5"/>
      <c r="L13" s="5"/>
      <c r="M13" s="5"/>
      <c r="N13" s="5"/>
      <c r="O13" s="5"/>
      <c r="P13" s="5"/>
      <c r="Q13" s="5"/>
      <c r="R13" s="5"/>
      <c r="S13" s="5"/>
      <c r="T13" s="5"/>
      <c r="U13" s="5"/>
      <c r="V13" s="5"/>
      <c r="W13" s="5"/>
      <c r="X13" s="5"/>
      <c r="Y13" s="5"/>
      <c r="Z13" s="5"/>
    </row>
    <row r="14" spans="1:26">
      <c r="A14" s="5" t="s">
        <v>360</v>
      </c>
      <c r="B14" s="38">
        <f>SolEl_CS!J25</f>
        <v>715.44884219999994</v>
      </c>
      <c r="C14" s="3" t="s">
        <v>361</v>
      </c>
      <c r="D14" s="3" t="s">
        <v>362</v>
      </c>
      <c r="E14" s="3" t="s">
        <v>69</v>
      </c>
      <c r="F14" s="3" t="s">
        <v>363</v>
      </c>
      <c r="G14" s="5"/>
      <c r="H14" s="5"/>
      <c r="I14" s="5"/>
      <c r="J14" s="5"/>
      <c r="K14" s="5"/>
      <c r="L14" s="5"/>
      <c r="M14" s="5"/>
      <c r="N14" s="5"/>
      <c r="O14" s="5"/>
      <c r="P14" s="5"/>
      <c r="Q14" s="5"/>
      <c r="R14" s="5"/>
      <c r="S14" s="5"/>
      <c r="T14" s="5"/>
      <c r="U14" s="5"/>
      <c r="V14" s="5"/>
      <c r="W14" s="5"/>
      <c r="X14" s="5"/>
      <c r="Y14" s="5"/>
      <c r="Z14" s="5"/>
    </row>
    <row r="15" spans="1:26">
      <c r="A15" s="5" t="s">
        <v>364</v>
      </c>
      <c r="B15" s="38">
        <f>SolEl_CS!J26</f>
        <v>6660</v>
      </c>
      <c r="C15" s="3" t="s">
        <v>365</v>
      </c>
      <c r="D15" s="3" t="s">
        <v>366</v>
      </c>
      <c r="E15" s="3" t="s">
        <v>69</v>
      </c>
      <c r="F15" s="3" t="s">
        <v>363</v>
      </c>
      <c r="G15" s="5"/>
      <c r="H15" s="5"/>
      <c r="I15" s="5"/>
      <c r="J15" s="5"/>
      <c r="K15" s="5"/>
      <c r="L15" s="5"/>
      <c r="M15" s="5"/>
      <c r="N15" s="5"/>
      <c r="O15" s="5"/>
      <c r="P15" s="5"/>
      <c r="Q15" s="5"/>
      <c r="R15" s="5"/>
      <c r="S15" s="5"/>
      <c r="T15" s="5"/>
      <c r="U15" s="5"/>
      <c r="V15" s="5"/>
      <c r="W15" s="5"/>
      <c r="X15" s="5"/>
      <c r="Y15" s="5"/>
      <c r="Z15" s="5"/>
    </row>
    <row r="16" spans="1:26">
      <c r="A16" s="5" t="s">
        <v>67</v>
      </c>
      <c r="B16" s="39">
        <f>SolEl_CS!J27</f>
        <v>4764889.2890519993</v>
      </c>
      <c r="C16" s="3" t="s">
        <v>367</v>
      </c>
      <c r="D16" s="3" t="s">
        <v>70</v>
      </c>
      <c r="E16" s="3" t="s">
        <v>69</v>
      </c>
      <c r="F16" s="3" t="s">
        <v>71</v>
      </c>
      <c r="G16" s="5"/>
      <c r="H16" s="5"/>
      <c r="I16" s="5"/>
      <c r="J16" s="5"/>
      <c r="K16" s="5"/>
      <c r="L16" s="5"/>
      <c r="M16" s="5"/>
      <c r="N16" s="5"/>
      <c r="O16" s="5"/>
      <c r="P16" s="5"/>
      <c r="Q16" s="5"/>
      <c r="R16" s="5"/>
      <c r="S16" s="5"/>
      <c r="T16" s="5"/>
      <c r="U16" s="5"/>
      <c r="V16" s="5"/>
      <c r="W16" s="5"/>
      <c r="X16" s="5"/>
      <c r="Y16" s="5"/>
      <c r="Z16" s="5"/>
    </row>
    <row r="17" spans="1:26">
      <c r="A17" s="5" t="s">
        <v>368</v>
      </c>
      <c r="B17" s="39">
        <f>SolEl_CS!H30</f>
        <v>16</v>
      </c>
      <c r="C17" s="3" t="s">
        <v>365</v>
      </c>
      <c r="D17" s="3" t="s">
        <v>369</v>
      </c>
      <c r="E17" s="3" t="s">
        <v>69</v>
      </c>
      <c r="F17" s="3" t="s">
        <v>71</v>
      </c>
      <c r="G17" s="5"/>
      <c r="H17" s="5"/>
      <c r="I17" s="5"/>
      <c r="J17" s="5"/>
      <c r="K17" s="5"/>
      <c r="L17" s="5"/>
      <c r="M17" s="5"/>
      <c r="N17" s="5"/>
      <c r="O17" s="5"/>
      <c r="P17" s="5"/>
      <c r="Q17" s="5"/>
      <c r="R17" s="5"/>
      <c r="S17" s="5"/>
      <c r="T17" s="5"/>
      <c r="U17" s="5"/>
      <c r="V17" s="5"/>
      <c r="W17" s="5"/>
      <c r="X17" s="5"/>
      <c r="Y17" s="5"/>
      <c r="Z17" s="5"/>
    </row>
    <row r="18" spans="1:26">
      <c r="A18" s="5" t="s">
        <v>72</v>
      </c>
      <c r="B18" s="39">
        <f>SolEl_CS!J31</f>
        <v>11447.181475199999</v>
      </c>
      <c r="C18" s="3" t="s">
        <v>367</v>
      </c>
      <c r="D18" s="3" t="s">
        <v>73</v>
      </c>
      <c r="E18" s="3" t="s">
        <v>69</v>
      </c>
      <c r="F18" s="3" t="s">
        <v>71</v>
      </c>
      <c r="G18" s="5"/>
      <c r="H18" s="5"/>
      <c r="I18" s="5"/>
      <c r="J18" s="5"/>
      <c r="K18" s="5"/>
      <c r="L18" s="5"/>
      <c r="M18" s="5"/>
      <c r="N18" s="5"/>
      <c r="O18" s="5"/>
      <c r="P18" s="5"/>
      <c r="Q18" s="5"/>
      <c r="R18" s="5"/>
      <c r="S18" s="5"/>
      <c r="T18" s="5"/>
      <c r="U18" s="5"/>
      <c r="V18" s="5"/>
      <c r="W18" s="5"/>
      <c r="X18" s="5"/>
      <c r="Y18" s="5"/>
      <c r="Z18" s="5"/>
    </row>
    <row r="19" spans="1:26">
      <c r="A19" s="5" t="s">
        <v>370</v>
      </c>
      <c r="B19" s="39">
        <f>SolEl_CS!J34</f>
        <v>4776336.4705271991</v>
      </c>
      <c r="C19" s="3" t="s">
        <v>367</v>
      </c>
      <c r="D19" s="3" t="s">
        <v>371</v>
      </c>
      <c r="E19" s="3" t="s">
        <v>69</v>
      </c>
      <c r="F19" s="3" t="s">
        <v>71</v>
      </c>
      <c r="G19" s="5"/>
      <c r="H19" s="5"/>
      <c r="I19" s="5"/>
      <c r="J19" s="5"/>
      <c r="K19" s="5"/>
      <c r="L19" s="5"/>
      <c r="M19" s="5"/>
      <c r="N19" s="5"/>
      <c r="O19" s="5"/>
      <c r="P19" s="5"/>
      <c r="Q19" s="5"/>
      <c r="R19" s="5"/>
      <c r="S19" s="5"/>
      <c r="T19" s="5"/>
      <c r="U19" s="5"/>
      <c r="V19" s="5"/>
      <c r="W19" s="5"/>
      <c r="X19" s="5"/>
      <c r="Y19" s="5"/>
      <c r="Z19" s="5"/>
    </row>
    <row r="20" spans="1:26">
      <c r="A20" s="5" t="s">
        <v>372</v>
      </c>
      <c r="B20" s="40">
        <f>SolEl_CS!I36</f>
        <v>0.04</v>
      </c>
      <c r="C20" s="3" t="s">
        <v>373</v>
      </c>
      <c r="D20" s="3" t="s">
        <v>374</v>
      </c>
      <c r="E20" s="3" t="s">
        <v>69</v>
      </c>
      <c r="F20" s="3" t="s">
        <v>85</v>
      </c>
      <c r="G20" s="5"/>
      <c r="H20" s="5"/>
      <c r="I20" s="5"/>
      <c r="J20" s="5"/>
      <c r="K20" s="5"/>
      <c r="L20" s="5"/>
      <c r="M20" s="5"/>
      <c r="N20" s="5"/>
      <c r="O20" s="5"/>
      <c r="P20" s="5"/>
      <c r="Q20" s="5"/>
      <c r="R20" s="5"/>
      <c r="S20" s="5"/>
      <c r="T20" s="5"/>
      <c r="U20" s="5"/>
      <c r="V20" s="5"/>
      <c r="W20" s="5"/>
      <c r="X20" s="5"/>
      <c r="Y20" s="5"/>
      <c r="Z20" s="5"/>
    </row>
    <row r="21" spans="1:26">
      <c r="A21" s="5" t="s">
        <v>375</v>
      </c>
      <c r="B21" s="39">
        <f>SolEl_CS!J36</f>
        <v>183705.24886643075</v>
      </c>
      <c r="C21" s="3" t="s">
        <v>367</v>
      </c>
      <c r="D21" s="3" t="s">
        <v>81</v>
      </c>
      <c r="E21" s="3" t="s">
        <v>69</v>
      </c>
      <c r="F21" s="3" t="s">
        <v>85</v>
      </c>
      <c r="G21" s="5"/>
      <c r="H21" s="5"/>
      <c r="I21" s="5"/>
      <c r="J21" s="5"/>
      <c r="K21" s="5"/>
      <c r="L21" s="5"/>
      <c r="M21" s="5"/>
      <c r="N21" s="5"/>
      <c r="O21" s="5"/>
      <c r="P21" s="5"/>
      <c r="Q21" s="5"/>
      <c r="R21" s="5"/>
      <c r="S21" s="5"/>
      <c r="T21" s="5"/>
      <c r="U21" s="5"/>
      <c r="V21" s="5"/>
      <c r="W21" s="5"/>
      <c r="X21" s="5"/>
      <c r="Y21" s="5"/>
      <c r="Z21" s="5"/>
    </row>
    <row r="22" spans="1:26">
      <c r="A22" s="5" t="s">
        <v>376</v>
      </c>
      <c r="B22" s="39">
        <f>SolEl_CS!J38</f>
        <v>4592631.2216607686</v>
      </c>
      <c r="C22" s="3" t="s">
        <v>367</v>
      </c>
      <c r="D22" s="3" t="s">
        <v>377</v>
      </c>
      <c r="E22" s="3" t="s">
        <v>69</v>
      </c>
      <c r="F22" s="3" t="s">
        <v>378</v>
      </c>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mergeCells count="2">
    <mergeCell ref="A1:F1"/>
    <mergeCell ref="A2: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200"/>
  <sheetViews>
    <sheetView workbookViewId="0">
      <selection sqref="A1:F1"/>
    </sheetView>
  </sheetViews>
  <sheetFormatPr defaultRowHeight="14.25"/>
  <cols>
    <col min="1" max="1" width="34" customWidth="1"/>
    <col min="2" max="2" width="18" customWidth="1"/>
    <col min="3" max="3" width="24" customWidth="1"/>
    <col min="4" max="4" width="22" customWidth="1"/>
    <col min="5" max="5" width="32" customWidth="1"/>
    <col min="6" max="6" width="42" customWidth="1"/>
  </cols>
  <sheetData>
    <row r="1" spans="1:26" ht="27.95" customHeight="1">
      <c r="A1" s="138" t="s">
        <v>379</v>
      </c>
      <c r="B1" s="138"/>
      <c r="C1" s="138"/>
      <c r="D1" s="138"/>
      <c r="E1" s="138"/>
      <c r="F1" s="138"/>
      <c r="G1" s="5"/>
      <c r="H1" s="5"/>
      <c r="I1" s="5"/>
      <c r="J1" s="5"/>
      <c r="K1" s="5"/>
      <c r="L1" s="5"/>
      <c r="M1" s="5"/>
      <c r="N1" s="5"/>
      <c r="O1" s="5"/>
      <c r="P1" s="5"/>
      <c r="Q1" s="5"/>
      <c r="R1" s="5"/>
      <c r="S1" s="5"/>
      <c r="T1" s="5"/>
      <c r="U1" s="5"/>
      <c r="V1" s="5"/>
      <c r="W1" s="5"/>
      <c r="X1" s="5"/>
      <c r="Y1" s="5"/>
      <c r="Z1" s="5"/>
    </row>
    <row r="2" spans="1:26" ht="32.1" customHeight="1">
      <c r="A2" s="139" t="s">
        <v>380</v>
      </c>
      <c r="B2" s="139"/>
      <c r="C2" s="139"/>
      <c r="D2" s="139"/>
      <c r="E2" s="139"/>
      <c r="F2" s="139"/>
      <c r="G2" s="5"/>
      <c r="H2" s="5"/>
      <c r="I2" s="5"/>
      <c r="J2" s="5"/>
      <c r="K2" s="5"/>
      <c r="L2" s="5"/>
      <c r="M2" s="5"/>
      <c r="N2" s="5"/>
      <c r="O2" s="5"/>
      <c r="P2" s="5"/>
      <c r="Q2" s="5"/>
      <c r="R2" s="5"/>
      <c r="S2" s="5"/>
      <c r="T2" s="5"/>
      <c r="U2" s="5"/>
      <c r="V2" s="5"/>
      <c r="W2" s="5"/>
      <c r="X2" s="5"/>
      <c r="Y2" s="5"/>
      <c r="Z2" s="5"/>
    </row>
    <row r="3" spans="1:26">
      <c r="A3" s="5"/>
      <c r="B3" s="5"/>
      <c r="C3" s="5"/>
      <c r="D3" s="5"/>
      <c r="E3" s="5"/>
      <c r="F3" s="5"/>
      <c r="G3" s="5"/>
      <c r="H3" s="5"/>
      <c r="I3" s="5"/>
      <c r="J3" s="5"/>
      <c r="K3" s="5"/>
      <c r="L3" s="5"/>
      <c r="M3" s="5"/>
      <c r="N3" s="5"/>
      <c r="O3" s="5"/>
      <c r="P3" s="5"/>
      <c r="Q3" s="5"/>
      <c r="R3" s="5"/>
      <c r="S3" s="5"/>
      <c r="T3" s="5"/>
      <c r="U3" s="5"/>
      <c r="V3" s="5"/>
      <c r="W3" s="5"/>
      <c r="X3" s="5"/>
      <c r="Y3" s="5"/>
      <c r="Z3" s="5"/>
    </row>
    <row r="4" spans="1:26" ht="21" customHeight="1">
      <c r="A4" s="140" t="s">
        <v>381</v>
      </c>
      <c r="B4" s="140"/>
      <c r="C4" s="140"/>
      <c r="D4" s="140"/>
      <c r="E4" s="140"/>
      <c r="F4" s="140"/>
      <c r="G4" s="5"/>
      <c r="H4" s="5"/>
      <c r="I4" s="5"/>
      <c r="J4" s="5"/>
      <c r="K4" s="5"/>
      <c r="L4" s="5"/>
      <c r="M4" s="5"/>
      <c r="N4" s="5"/>
      <c r="O4" s="5"/>
      <c r="P4" s="5"/>
      <c r="Q4" s="5"/>
      <c r="R4" s="5"/>
      <c r="S4" s="5"/>
      <c r="T4" s="5"/>
      <c r="U4" s="5"/>
      <c r="V4" s="5"/>
      <c r="W4" s="5"/>
      <c r="X4" s="5"/>
      <c r="Y4" s="5"/>
      <c r="Z4" s="5"/>
    </row>
    <row r="5" spans="1:26" ht="15">
      <c r="A5" s="2" t="s">
        <v>3</v>
      </c>
      <c r="B5" s="2" t="s">
        <v>4</v>
      </c>
      <c r="C5" s="2" t="s">
        <v>332</v>
      </c>
      <c r="D5" s="2" t="s">
        <v>333</v>
      </c>
      <c r="E5" s="2" t="s">
        <v>63</v>
      </c>
      <c r="F5" s="2" t="s">
        <v>382</v>
      </c>
      <c r="G5" s="5"/>
      <c r="H5" s="5"/>
      <c r="I5" s="5"/>
      <c r="J5" s="5"/>
      <c r="K5" s="5"/>
      <c r="L5" s="5"/>
      <c r="M5" s="5"/>
      <c r="N5" s="5"/>
      <c r="O5" s="5"/>
      <c r="P5" s="5"/>
      <c r="Q5" s="5"/>
      <c r="R5" s="5"/>
      <c r="S5" s="5"/>
      <c r="T5" s="5"/>
      <c r="U5" s="5"/>
      <c r="V5" s="5"/>
      <c r="W5" s="5"/>
      <c r="X5" s="5"/>
      <c r="Y5" s="5"/>
      <c r="Z5" s="5"/>
    </row>
    <row r="6" spans="1:26" ht="28.5">
      <c r="A6" s="3" t="s">
        <v>383</v>
      </c>
      <c r="B6" s="31">
        <f>'Additional Allowable'!B6</f>
        <v>62359080</v>
      </c>
      <c r="C6" s="3" t="s">
        <v>384</v>
      </c>
      <c r="D6" s="3" t="s">
        <v>385</v>
      </c>
      <c r="E6" s="3" t="s">
        <v>76</v>
      </c>
      <c r="F6" s="3" t="s">
        <v>386</v>
      </c>
      <c r="G6" s="5"/>
      <c r="H6" s="5"/>
      <c r="I6" s="5"/>
      <c r="J6" s="5"/>
      <c r="K6" s="5"/>
      <c r="L6" s="5"/>
      <c r="M6" s="5"/>
      <c r="N6" s="5"/>
      <c r="O6" s="5"/>
      <c r="P6" s="5"/>
      <c r="Q6" s="5"/>
      <c r="R6" s="5"/>
      <c r="S6" s="5"/>
      <c r="T6" s="5"/>
      <c r="U6" s="5"/>
      <c r="V6" s="5"/>
      <c r="W6" s="5"/>
      <c r="X6" s="5"/>
      <c r="Y6" s="5"/>
      <c r="Z6" s="5"/>
    </row>
    <row r="7" spans="1:26">
      <c r="A7" s="3" t="s">
        <v>387</v>
      </c>
      <c r="B7" s="31">
        <f>'Additional Allowable'!B8</f>
        <v>36959489</v>
      </c>
      <c r="C7" s="3" t="s">
        <v>367</v>
      </c>
      <c r="D7" s="3" t="s">
        <v>388</v>
      </c>
      <c r="E7" s="3" t="s">
        <v>76</v>
      </c>
      <c r="F7" s="3" t="s">
        <v>386</v>
      </c>
      <c r="G7" s="5"/>
      <c r="H7" s="5"/>
      <c r="I7" s="5"/>
      <c r="J7" s="5"/>
      <c r="K7" s="5"/>
      <c r="L7" s="5"/>
      <c r="M7" s="5"/>
      <c r="N7" s="5"/>
      <c r="O7" s="5"/>
      <c r="P7" s="5"/>
      <c r="Q7" s="5"/>
      <c r="R7" s="5"/>
      <c r="S7" s="5"/>
      <c r="T7" s="5"/>
      <c r="U7" s="5"/>
      <c r="V7" s="5"/>
      <c r="W7" s="5"/>
      <c r="X7" s="5"/>
      <c r="Y7" s="5"/>
      <c r="Z7" s="5"/>
    </row>
    <row r="8" spans="1:26">
      <c r="A8" s="3" t="s">
        <v>389</v>
      </c>
      <c r="B8" s="31">
        <f>'Additional Allowable'!B10</f>
        <v>25399591</v>
      </c>
      <c r="C8" s="3" t="s">
        <v>367</v>
      </c>
      <c r="D8" s="3" t="s">
        <v>390</v>
      </c>
      <c r="E8" s="3" t="s">
        <v>76</v>
      </c>
      <c r="F8" s="3" t="s">
        <v>391</v>
      </c>
      <c r="G8" s="5"/>
      <c r="H8" s="5"/>
      <c r="I8" s="5"/>
      <c r="J8" s="5"/>
      <c r="K8" s="5"/>
      <c r="L8" s="5"/>
      <c r="M8" s="5"/>
      <c r="N8" s="5"/>
      <c r="O8" s="5"/>
      <c r="P8" s="5"/>
      <c r="Q8" s="5"/>
      <c r="R8" s="5"/>
      <c r="S8" s="5"/>
      <c r="T8" s="5"/>
      <c r="U8" s="5"/>
      <c r="V8" s="5"/>
      <c r="W8" s="5"/>
      <c r="X8" s="5"/>
      <c r="Y8" s="5"/>
      <c r="Z8" s="5"/>
    </row>
    <row r="9" spans="1:26">
      <c r="A9" s="3" t="s">
        <v>392</v>
      </c>
      <c r="B9" s="41">
        <f>'Additional Allowable'!B12</f>
        <v>16682.23</v>
      </c>
      <c r="C9" s="3" t="s">
        <v>361</v>
      </c>
      <c r="D9" s="3" t="s">
        <v>393</v>
      </c>
      <c r="E9" s="3" t="s">
        <v>76</v>
      </c>
      <c r="F9" s="3" t="s">
        <v>394</v>
      </c>
      <c r="G9" s="5"/>
      <c r="H9" s="5"/>
      <c r="I9" s="5"/>
      <c r="J9" s="5"/>
      <c r="K9" s="5"/>
      <c r="L9" s="5"/>
      <c r="M9" s="5"/>
      <c r="N9" s="5"/>
      <c r="O9" s="5"/>
      <c r="P9" s="5"/>
      <c r="Q9" s="5"/>
      <c r="R9" s="5"/>
      <c r="S9" s="5"/>
      <c r="T9" s="5"/>
      <c r="U9" s="5"/>
      <c r="V9" s="5"/>
      <c r="W9" s="5"/>
      <c r="X9" s="5"/>
      <c r="Y9" s="5"/>
      <c r="Z9" s="5"/>
    </row>
    <row r="10" spans="1:26">
      <c r="A10" s="3" t="s">
        <v>395</v>
      </c>
      <c r="B10" s="41">
        <f>'Additional Allowable'!B14</f>
        <v>1522.55</v>
      </c>
      <c r="C10" s="3" t="s">
        <v>365</v>
      </c>
      <c r="D10" s="3" t="s">
        <v>396</v>
      </c>
      <c r="E10" s="3" t="s">
        <v>76</v>
      </c>
      <c r="F10" s="3" t="s">
        <v>394</v>
      </c>
      <c r="G10" s="5"/>
      <c r="H10" s="5"/>
      <c r="I10" s="5"/>
      <c r="J10" s="5"/>
      <c r="K10" s="5"/>
      <c r="L10" s="5"/>
      <c r="M10" s="5"/>
      <c r="N10" s="5"/>
      <c r="O10" s="5"/>
      <c r="P10" s="5"/>
      <c r="Q10" s="5"/>
      <c r="R10" s="5"/>
      <c r="S10" s="5"/>
      <c r="T10" s="5"/>
      <c r="U10" s="5"/>
      <c r="V10" s="5"/>
      <c r="W10" s="5"/>
      <c r="X10" s="5"/>
      <c r="Y10" s="5"/>
      <c r="Z10" s="5"/>
    </row>
    <row r="11" spans="1:26" ht="28.5">
      <c r="A11" s="3" t="s">
        <v>397</v>
      </c>
      <c r="B11" s="31">
        <f>'Additional Allowable'!B17</f>
        <v>715.44884219999994</v>
      </c>
      <c r="C11" s="3" t="s">
        <v>361</v>
      </c>
      <c r="D11" s="3" t="s">
        <v>398</v>
      </c>
      <c r="E11" s="3" t="s">
        <v>76</v>
      </c>
      <c r="F11" s="3" t="s">
        <v>399</v>
      </c>
      <c r="G11" s="5"/>
      <c r="H11" s="5"/>
      <c r="I11" s="5"/>
      <c r="J11" s="5"/>
      <c r="K11" s="5"/>
      <c r="L11" s="5"/>
      <c r="M11" s="5"/>
      <c r="N11" s="5"/>
      <c r="O11" s="5"/>
      <c r="P11" s="5"/>
      <c r="Q11" s="5"/>
      <c r="R11" s="5"/>
      <c r="S11" s="5"/>
      <c r="T11" s="5"/>
      <c r="U11" s="5"/>
      <c r="V11" s="5"/>
      <c r="W11" s="5"/>
      <c r="X11" s="5"/>
      <c r="Y11" s="5"/>
      <c r="Z11" s="5"/>
    </row>
    <row r="12" spans="1:26">
      <c r="A12" s="3" t="s">
        <v>400</v>
      </c>
      <c r="B12" s="31">
        <f>'Additional Allowable'!C17</f>
        <v>1089306.6299999999</v>
      </c>
      <c r="C12" s="3" t="s">
        <v>367</v>
      </c>
      <c r="D12" s="3" t="s">
        <v>77</v>
      </c>
      <c r="E12" s="3" t="s">
        <v>76</v>
      </c>
      <c r="F12" s="3" t="s">
        <v>401</v>
      </c>
      <c r="G12" s="5"/>
      <c r="H12" s="5"/>
      <c r="I12" s="5"/>
      <c r="J12" s="5"/>
      <c r="K12" s="5"/>
      <c r="L12" s="5"/>
      <c r="M12" s="5"/>
      <c r="N12" s="5"/>
      <c r="O12" s="5"/>
      <c r="P12" s="5"/>
      <c r="Q12" s="5"/>
      <c r="R12" s="5"/>
      <c r="S12" s="5"/>
      <c r="T12" s="5"/>
      <c r="U12" s="5"/>
      <c r="V12" s="5"/>
      <c r="W12" s="5"/>
      <c r="X12" s="5"/>
      <c r="Y12" s="5"/>
      <c r="Z12" s="5"/>
    </row>
    <row r="13" spans="1:26">
      <c r="A13" s="3"/>
      <c r="B13" s="3"/>
      <c r="C13" s="3"/>
      <c r="D13" s="3"/>
      <c r="E13" s="3"/>
      <c r="F13" s="3"/>
      <c r="G13" s="5"/>
      <c r="H13" s="5"/>
      <c r="I13" s="5"/>
      <c r="J13" s="5"/>
      <c r="K13" s="5"/>
      <c r="L13" s="5"/>
      <c r="M13" s="5"/>
      <c r="N13" s="5"/>
      <c r="O13" s="5"/>
      <c r="P13" s="5"/>
      <c r="Q13" s="5"/>
      <c r="R13" s="5"/>
      <c r="S13" s="5"/>
      <c r="T13" s="5"/>
      <c r="U13" s="5"/>
      <c r="V13" s="5"/>
      <c r="W13" s="5"/>
      <c r="X13" s="5"/>
      <c r="Y13" s="5"/>
      <c r="Z13" s="5"/>
    </row>
    <row r="14" spans="1:26" ht="21" customHeight="1">
      <c r="A14" s="141" t="s">
        <v>83</v>
      </c>
      <c r="B14" s="141"/>
      <c r="C14" s="141"/>
      <c r="D14" s="141"/>
      <c r="E14" s="141"/>
      <c r="F14" s="141"/>
      <c r="G14" s="5"/>
      <c r="H14" s="5"/>
      <c r="I14" s="5"/>
      <c r="J14" s="5"/>
      <c r="K14" s="5"/>
      <c r="L14" s="5"/>
      <c r="M14" s="5"/>
      <c r="N14" s="5"/>
      <c r="O14" s="5"/>
      <c r="P14" s="5"/>
      <c r="Q14" s="5"/>
      <c r="R14" s="5"/>
      <c r="S14" s="5"/>
      <c r="T14" s="5"/>
      <c r="U14" s="5"/>
      <c r="V14" s="5"/>
      <c r="W14" s="5"/>
      <c r="X14" s="5"/>
      <c r="Y14" s="5"/>
      <c r="Z14" s="5"/>
    </row>
    <row r="15" spans="1:26" ht="15">
      <c r="A15" s="2" t="s">
        <v>402</v>
      </c>
      <c r="B15" s="2" t="s">
        <v>403</v>
      </c>
      <c r="C15" s="2" t="s">
        <v>404</v>
      </c>
      <c r="D15" s="2" t="s">
        <v>405</v>
      </c>
      <c r="E15" s="2" t="s">
        <v>333</v>
      </c>
      <c r="F15" s="2" t="s">
        <v>63</v>
      </c>
      <c r="G15" s="5"/>
      <c r="H15" s="5"/>
      <c r="I15" s="5"/>
      <c r="J15" s="5"/>
      <c r="K15" s="5"/>
      <c r="L15" s="5"/>
      <c r="M15" s="5"/>
      <c r="N15" s="5"/>
      <c r="O15" s="5"/>
      <c r="P15" s="5"/>
      <c r="Q15" s="5"/>
      <c r="R15" s="5"/>
      <c r="S15" s="5"/>
      <c r="T15" s="5"/>
      <c r="U15" s="5"/>
      <c r="V15" s="5"/>
      <c r="W15" s="5"/>
      <c r="X15" s="5"/>
      <c r="Y15" s="5"/>
      <c r="Z15" s="5"/>
    </row>
    <row r="16" spans="1:26">
      <c r="A16" s="3" t="s">
        <v>406</v>
      </c>
      <c r="B16" s="31">
        <f>'In-Kind Chargeable Costs'!B9</f>
        <v>174162</v>
      </c>
      <c r="C16" s="120">
        <v>4.2900000000000001E-2</v>
      </c>
      <c r="D16" s="31">
        <f t="shared" ref="D16:D22" si="0">B16*C16</f>
        <v>7471.5497999999998</v>
      </c>
      <c r="E16" s="3" t="s">
        <v>407</v>
      </c>
      <c r="F16" s="3" t="s">
        <v>76</v>
      </c>
      <c r="G16" s="5"/>
      <c r="H16" s="5"/>
      <c r="I16" s="5"/>
      <c r="J16" s="5"/>
      <c r="K16" s="5"/>
      <c r="L16" s="5"/>
      <c r="M16" s="5"/>
      <c r="N16" s="5"/>
      <c r="O16" s="5"/>
      <c r="P16" s="5"/>
      <c r="Q16" s="5"/>
      <c r="R16" s="5"/>
      <c r="S16" s="5"/>
      <c r="T16" s="5"/>
      <c r="U16" s="5"/>
      <c r="V16" s="5"/>
      <c r="W16" s="5"/>
      <c r="X16" s="5"/>
      <c r="Y16" s="5"/>
      <c r="Z16" s="5"/>
    </row>
    <row r="17" spans="1:26">
      <c r="A17" s="3" t="s">
        <v>408</v>
      </c>
      <c r="B17" s="31">
        <f>'In-Kind Chargeable Costs'!B10</f>
        <v>152687</v>
      </c>
      <c r="C17" s="120">
        <v>4.2900000000000001E-2</v>
      </c>
      <c r="D17" s="31">
        <f t="shared" si="0"/>
        <v>6550.2723000000005</v>
      </c>
      <c r="E17" s="3" t="s">
        <v>409</v>
      </c>
      <c r="F17" s="3" t="s">
        <v>76</v>
      </c>
      <c r="G17" s="5"/>
      <c r="H17" s="5"/>
      <c r="I17" s="5"/>
      <c r="J17" s="5"/>
      <c r="K17" s="5"/>
      <c r="L17" s="5"/>
      <c r="M17" s="5"/>
      <c r="N17" s="5"/>
      <c r="O17" s="5"/>
      <c r="P17" s="5"/>
      <c r="Q17" s="5"/>
      <c r="R17" s="5"/>
      <c r="S17" s="5"/>
      <c r="T17" s="5"/>
      <c r="U17" s="5"/>
      <c r="V17" s="5"/>
      <c r="W17" s="5"/>
      <c r="X17" s="5"/>
      <c r="Y17" s="5"/>
      <c r="Z17" s="5"/>
    </row>
    <row r="18" spans="1:26">
      <c r="A18" s="3" t="s">
        <v>410</v>
      </c>
      <c r="B18" s="31">
        <f>'In-Kind Chargeable Costs'!B11</f>
        <v>10126165</v>
      </c>
      <c r="C18" s="120">
        <v>4.2900000000000001E-2</v>
      </c>
      <c r="D18" s="31">
        <f t="shared" si="0"/>
        <v>434412.47850000003</v>
      </c>
      <c r="E18" s="3" t="s">
        <v>411</v>
      </c>
      <c r="F18" s="3" t="s">
        <v>76</v>
      </c>
      <c r="G18" s="5"/>
      <c r="H18" s="5"/>
      <c r="I18" s="5"/>
      <c r="J18" s="5"/>
      <c r="K18" s="5"/>
      <c r="L18" s="5"/>
      <c r="M18" s="5"/>
      <c r="N18" s="5"/>
      <c r="O18" s="5"/>
      <c r="P18" s="5"/>
      <c r="Q18" s="5"/>
      <c r="R18" s="5"/>
      <c r="S18" s="5"/>
      <c r="T18" s="5"/>
      <c r="U18" s="5"/>
      <c r="V18" s="5"/>
      <c r="W18" s="5"/>
      <c r="X18" s="5"/>
      <c r="Y18" s="5"/>
      <c r="Z18" s="5"/>
    </row>
    <row r="19" spans="1:26">
      <c r="A19" s="3" t="s">
        <v>412</v>
      </c>
      <c r="B19" s="31">
        <f>'In-Kind Chargeable Costs'!B12</f>
        <v>81600</v>
      </c>
      <c r="C19" s="120">
        <v>4.2900000000000001E-2</v>
      </c>
      <c r="D19" s="31">
        <f t="shared" si="0"/>
        <v>3500.64</v>
      </c>
      <c r="E19" s="3" t="s">
        <v>413</v>
      </c>
      <c r="F19" s="3" t="s">
        <v>76</v>
      </c>
      <c r="G19" s="5"/>
      <c r="H19" s="5"/>
      <c r="I19" s="5"/>
      <c r="J19" s="5"/>
      <c r="K19" s="5"/>
      <c r="L19" s="5"/>
      <c r="M19" s="5"/>
      <c r="N19" s="5"/>
      <c r="O19" s="5"/>
      <c r="P19" s="5"/>
      <c r="Q19" s="5"/>
      <c r="R19" s="5"/>
      <c r="S19" s="5"/>
      <c r="T19" s="5"/>
      <c r="U19" s="5"/>
      <c r="V19" s="5"/>
      <c r="W19" s="5"/>
      <c r="X19" s="5"/>
      <c r="Y19" s="5"/>
      <c r="Z19" s="5"/>
    </row>
    <row r="20" spans="1:26">
      <c r="A20" s="3" t="s">
        <v>414</v>
      </c>
      <c r="B20" s="31">
        <f>'In-Kind Chargeable Costs'!B13</f>
        <v>2124010</v>
      </c>
      <c r="C20" s="120">
        <v>4.2900000000000001E-2</v>
      </c>
      <c r="D20" s="31">
        <f t="shared" si="0"/>
        <v>91120.028999999995</v>
      </c>
      <c r="E20" s="3" t="s">
        <v>415</v>
      </c>
      <c r="F20" s="3" t="s">
        <v>76</v>
      </c>
      <c r="G20" s="5"/>
      <c r="H20" s="5"/>
      <c r="I20" s="5"/>
      <c r="J20" s="5"/>
      <c r="K20" s="5"/>
      <c r="L20" s="5"/>
      <c r="M20" s="5"/>
      <c r="N20" s="5"/>
      <c r="O20" s="5"/>
      <c r="P20" s="5"/>
      <c r="Q20" s="5"/>
      <c r="R20" s="5"/>
      <c r="S20" s="5"/>
      <c r="T20" s="5"/>
      <c r="U20" s="5"/>
      <c r="V20" s="5"/>
      <c r="W20" s="5"/>
      <c r="X20" s="5"/>
      <c r="Y20" s="5"/>
      <c r="Z20" s="5"/>
    </row>
    <row r="21" spans="1:26">
      <c r="A21" s="3" t="s">
        <v>416</v>
      </c>
      <c r="B21" s="31">
        <f>'In-Kind Chargeable Costs'!B14</f>
        <v>1862801</v>
      </c>
      <c r="C21" s="120">
        <v>4.2900000000000001E-2</v>
      </c>
      <c r="D21" s="31">
        <f t="shared" si="0"/>
        <v>79914.162899999996</v>
      </c>
      <c r="E21" s="3" t="s">
        <v>417</v>
      </c>
      <c r="F21" s="3" t="s">
        <v>76</v>
      </c>
      <c r="G21" s="5"/>
      <c r="H21" s="5"/>
      <c r="I21" s="5"/>
      <c r="J21" s="5"/>
      <c r="K21" s="5"/>
      <c r="L21" s="5"/>
      <c r="M21" s="5"/>
      <c r="N21" s="5"/>
      <c r="O21" s="5"/>
      <c r="P21" s="5"/>
      <c r="Q21" s="5"/>
      <c r="R21" s="5"/>
      <c r="S21" s="5"/>
      <c r="T21" s="5"/>
      <c r="U21" s="5"/>
      <c r="V21" s="5"/>
      <c r="W21" s="5"/>
      <c r="X21" s="5"/>
      <c r="Y21" s="5"/>
      <c r="Z21" s="5"/>
    </row>
    <row r="22" spans="1:26">
      <c r="A22" s="3" t="s">
        <v>418</v>
      </c>
      <c r="B22" s="31">
        <f>'In-Kind Chargeable Costs'!B15</f>
        <v>1941089</v>
      </c>
      <c r="C22" s="120">
        <v>4.2900000000000001E-2</v>
      </c>
      <c r="D22" s="31">
        <f t="shared" si="0"/>
        <v>83272.718099999998</v>
      </c>
      <c r="E22" s="3" t="s">
        <v>419</v>
      </c>
      <c r="F22" s="3" t="s">
        <v>76</v>
      </c>
      <c r="G22" s="5"/>
      <c r="H22" s="5"/>
      <c r="I22" s="5"/>
      <c r="J22" s="5"/>
      <c r="K22" s="5"/>
      <c r="L22" s="5"/>
      <c r="M22" s="5"/>
      <c r="N22" s="5"/>
      <c r="O22" s="5"/>
      <c r="P22" s="5"/>
      <c r="Q22" s="5"/>
      <c r="R22" s="5"/>
      <c r="S22" s="5"/>
      <c r="T22" s="5"/>
      <c r="U22" s="5"/>
      <c r="V22" s="5"/>
      <c r="W22" s="5"/>
      <c r="X22" s="5"/>
      <c r="Y22" s="5"/>
      <c r="Z22" s="5"/>
    </row>
    <row r="23" spans="1:26" ht="15">
      <c r="A23" s="11" t="s">
        <v>420</v>
      </c>
      <c r="B23" s="32">
        <f>'In-Kind Chargeable Costs'!B17</f>
        <v>16462514</v>
      </c>
      <c r="C23" s="42"/>
      <c r="D23" s="32">
        <f>SUM(D16:D22)</f>
        <v>706241.85060000001</v>
      </c>
      <c r="E23" s="11" t="s">
        <v>421</v>
      </c>
      <c r="F23" s="11" t="s">
        <v>76</v>
      </c>
      <c r="G23" s="5"/>
      <c r="H23" s="5"/>
      <c r="I23" s="5"/>
      <c r="J23" s="5"/>
      <c r="K23" s="5"/>
      <c r="L23" s="5"/>
      <c r="M23" s="5"/>
      <c r="N23" s="5"/>
      <c r="O23" s="5"/>
      <c r="P23" s="5"/>
      <c r="Q23" s="5"/>
      <c r="R23" s="5"/>
      <c r="S23" s="5"/>
      <c r="T23" s="5"/>
      <c r="U23" s="5"/>
      <c r="V23" s="5"/>
      <c r="W23" s="5"/>
      <c r="X23" s="5"/>
      <c r="Y23" s="5"/>
      <c r="Z23" s="5"/>
    </row>
    <row r="24" spans="1:26">
      <c r="A24" s="3"/>
      <c r="B24" s="3"/>
      <c r="C24" s="3"/>
      <c r="D24" s="3"/>
      <c r="E24" s="3"/>
      <c r="F24" s="3"/>
      <c r="G24" s="5"/>
      <c r="H24" s="5"/>
      <c r="I24" s="5"/>
      <c r="J24" s="5"/>
      <c r="K24" s="5"/>
      <c r="L24" s="5"/>
      <c r="M24" s="5"/>
      <c r="N24" s="5"/>
      <c r="O24" s="5"/>
      <c r="P24" s="5"/>
      <c r="Q24" s="5"/>
      <c r="R24" s="5"/>
      <c r="S24" s="5"/>
      <c r="T24" s="5"/>
      <c r="U24" s="5"/>
      <c r="V24" s="5"/>
      <c r="W24" s="5"/>
      <c r="X24" s="5"/>
      <c r="Y24" s="5"/>
      <c r="Z24" s="5"/>
    </row>
    <row r="25" spans="1:26" ht="21" customHeight="1">
      <c r="A25" s="141" t="s">
        <v>422</v>
      </c>
      <c r="B25" s="141"/>
      <c r="C25" s="141"/>
      <c r="D25" s="141"/>
      <c r="E25" s="141"/>
      <c r="F25" s="141"/>
      <c r="G25" s="5"/>
      <c r="H25" s="5"/>
      <c r="I25" s="5"/>
      <c r="J25" s="5"/>
      <c r="K25" s="5"/>
      <c r="L25" s="5"/>
      <c r="M25" s="5"/>
      <c r="N25" s="5"/>
      <c r="O25" s="5"/>
      <c r="P25" s="5"/>
      <c r="Q25" s="5"/>
      <c r="R25" s="5"/>
      <c r="S25" s="5"/>
      <c r="T25" s="5"/>
      <c r="U25" s="5"/>
      <c r="V25" s="5"/>
      <c r="W25" s="5"/>
      <c r="X25" s="5"/>
      <c r="Y25" s="5"/>
      <c r="Z25" s="5"/>
    </row>
    <row r="26" spans="1:26" ht="15">
      <c r="A26" s="2" t="s">
        <v>3</v>
      </c>
      <c r="B26" s="2" t="s">
        <v>4</v>
      </c>
      <c r="C26" s="2" t="s">
        <v>332</v>
      </c>
      <c r="D26" s="2" t="s">
        <v>333</v>
      </c>
      <c r="E26" s="2" t="s">
        <v>63</v>
      </c>
      <c r="F26" s="2" t="s">
        <v>382</v>
      </c>
      <c r="G26" s="5"/>
      <c r="H26" s="5"/>
      <c r="I26" s="5"/>
      <c r="J26" s="5"/>
      <c r="K26" s="5"/>
      <c r="L26" s="5"/>
      <c r="M26" s="5"/>
      <c r="N26" s="5"/>
      <c r="O26" s="5"/>
      <c r="P26" s="5"/>
      <c r="Q26" s="5"/>
      <c r="R26" s="5"/>
      <c r="S26" s="5"/>
      <c r="T26" s="5"/>
      <c r="U26" s="5"/>
      <c r="V26" s="5"/>
      <c r="W26" s="5"/>
      <c r="X26" s="5"/>
      <c r="Y26" s="5"/>
      <c r="Z26" s="5"/>
    </row>
    <row r="27" spans="1:26" ht="14.25" customHeight="1">
      <c r="A27" s="3" t="s">
        <v>423</v>
      </c>
      <c r="B27" s="31">
        <f>'Rent 625'!B10</f>
        <v>1089306.6299999999</v>
      </c>
      <c r="C27" s="3" t="s">
        <v>367</v>
      </c>
      <c r="D27" s="3" t="s">
        <v>424</v>
      </c>
      <c r="E27" s="3" t="s">
        <v>76</v>
      </c>
      <c r="F27" s="148" t="s">
        <v>425</v>
      </c>
      <c r="G27" s="5"/>
      <c r="H27" s="5"/>
      <c r="I27" s="5"/>
      <c r="J27" s="5"/>
      <c r="K27" s="5"/>
      <c r="L27" s="5"/>
      <c r="M27" s="5"/>
      <c r="N27" s="5"/>
      <c r="O27" s="5"/>
      <c r="P27" s="5"/>
      <c r="Q27" s="5"/>
      <c r="R27" s="5"/>
      <c r="S27" s="5"/>
      <c r="T27" s="5"/>
      <c r="U27" s="5"/>
      <c r="V27" s="5"/>
      <c r="W27" s="5"/>
      <c r="X27" s="5"/>
      <c r="Y27" s="5"/>
      <c r="Z27" s="5"/>
    </row>
    <row r="28" spans="1:26">
      <c r="A28" s="3" t="s">
        <v>426</v>
      </c>
      <c r="B28" s="31">
        <f>-D23</f>
        <v>-706241.85060000001</v>
      </c>
      <c r="C28" s="3" t="s">
        <v>367</v>
      </c>
      <c r="D28" s="3" t="s">
        <v>427</v>
      </c>
      <c r="E28" s="3" t="s">
        <v>76</v>
      </c>
      <c r="F28" s="148"/>
      <c r="G28" s="5"/>
      <c r="H28" s="5"/>
      <c r="I28" s="5"/>
      <c r="J28" s="5"/>
      <c r="K28" s="5"/>
      <c r="L28" s="5"/>
      <c r="M28" s="5"/>
      <c r="N28" s="5"/>
      <c r="O28" s="5"/>
      <c r="P28" s="5"/>
      <c r="Q28" s="5"/>
      <c r="R28" s="5"/>
      <c r="S28" s="5"/>
      <c r="T28" s="5"/>
      <c r="U28" s="5"/>
      <c r="V28" s="5"/>
      <c r="W28" s="5"/>
      <c r="X28" s="5"/>
      <c r="Y28" s="5"/>
      <c r="Z28" s="5"/>
    </row>
    <row r="29" spans="1:26">
      <c r="A29" s="3" t="s">
        <v>428</v>
      </c>
      <c r="B29" s="41">
        <f>'Rent 625'!D10</f>
        <v>715.44884219999994</v>
      </c>
      <c r="C29" s="3" t="s">
        <v>361</v>
      </c>
      <c r="D29" s="3" t="s">
        <v>429</v>
      </c>
      <c r="E29" s="3" t="s">
        <v>76</v>
      </c>
      <c r="F29" s="148"/>
      <c r="G29" s="5"/>
      <c r="H29" s="5"/>
      <c r="I29" s="5"/>
      <c r="J29" s="5"/>
      <c r="K29" s="5"/>
      <c r="L29" s="5"/>
      <c r="M29" s="5"/>
      <c r="N29" s="5"/>
      <c r="O29" s="5"/>
      <c r="P29" s="5"/>
      <c r="Q29" s="5"/>
      <c r="R29" s="5"/>
      <c r="S29" s="5"/>
      <c r="T29" s="5"/>
      <c r="U29" s="5"/>
      <c r="V29" s="5"/>
      <c r="W29" s="5"/>
      <c r="X29" s="5"/>
      <c r="Y29" s="5"/>
      <c r="Z29" s="5"/>
    </row>
    <row r="30" spans="1:26">
      <c r="A30" s="3" t="s">
        <v>430</v>
      </c>
      <c r="B30" s="31">
        <f>-'Rent 625'!E7</f>
        <v>-625</v>
      </c>
      <c r="C30" s="3" t="s">
        <v>365</v>
      </c>
      <c r="D30" s="3" t="s">
        <v>431</v>
      </c>
      <c r="E30" s="3" t="s">
        <v>76</v>
      </c>
      <c r="F30" s="148"/>
      <c r="G30" s="5"/>
      <c r="H30" s="5"/>
      <c r="I30" s="5"/>
      <c r="J30" s="5"/>
      <c r="K30" s="5"/>
      <c r="L30" s="5"/>
      <c r="M30" s="5"/>
      <c r="N30" s="5"/>
      <c r="O30" s="5"/>
      <c r="P30" s="5"/>
      <c r="Q30" s="5"/>
      <c r="R30" s="5"/>
      <c r="S30" s="5"/>
      <c r="T30" s="5"/>
      <c r="U30" s="5"/>
      <c r="V30" s="5"/>
      <c r="W30" s="5"/>
      <c r="X30" s="5"/>
      <c r="Y30" s="5"/>
      <c r="Z30" s="5"/>
    </row>
    <row r="31" spans="1:26">
      <c r="A31" s="3" t="s">
        <v>432</v>
      </c>
      <c r="B31" s="31">
        <f>B29*B30</f>
        <v>-447155.52637499996</v>
      </c>
      <c r="C31" s="3" t="s">
        <v>367</v>
      </c>
      <c r="D31" s="3" t="s">
        <v>88</v>
      </c>
      <c r="E31" s="3" t="s">
        <v>76</v>
      </c>
      <c r="F31" s="148"/>
      <c r="G31" s="5"/>
      <c r="H31" s="5"/>
      <c r="I31" s="5"/>
      <c r="J31" s="5"/>
      <c r="K31" s="5"/>
      <c r="L31" s="5"/>
      <c r="M31" s="5"/>
      <c r="N31" s="5"/>
      <c r="O31" s="5"/>
      <c r="P31" s="5"/>
      <c r="Q31" s="5"/>
      <c r="R31" s="5"/>
      <c r="S31" s="5"/>
      <c r="T31" s="5"/>
      <c r="U31" s="5"/>
      <c r="V31" s="5"/>
      <c r="W31" s="5"/>
      <c r="X31" s="5"/>
      <c r="Y31" s="5"/>
      <c r="Z31" s="5"/>
    </row>
    <row r="32" spans="1:26" ht="28.5" customHeight="1">
      <c r="A32" s="3" t="s">
        <v>433</v>
      </c>
      <c r="B32" s="31">
        <f>SUM(B27:B28,B31)</f>
        <v>-64090.746975000075</v>
      </c>
      <c r="C32" s="3" t="s">
        <v>367</v>
      </c>
      <c r="D32" s="3" t="s">
        <v>434</v>
      </c>
      <c r="E32" s="3" t="s">
        <v>76</v>
      </c>
      <c r="F32" s="148"/>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mergeCells count="6">
    <mergeCell ref="F27:F32"/>
    <mergeCell ref="A1:F1"/>
    <mergeCell ref="A2:F2"/>
    <mergeCell ref="A4:F4"/>
    <mergeCell ref="A14:F14"/>
    <mergeCell ref="A25:F2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200"/>
  <sheetViews>
    <sheetView workbookViewId="0">
      <selection sqref="A1:H1"/>
    </sheetView>
  </sheetViews>
  <sheetFormatPr defaultRowHeight="14.25"/>
  <cols>
    <col min="1" max="1" width="10" customWidth="1"/>
    <col min="2" max="3" width="14" customWidth="1"/>
    <col min="4" max="7" width="16" customWidth="1"/>
    <col min="8" max="8" width="14" customWidth="1"/>
  </cols>
  <sheetData>
    <row r="1" spans="1:26" ht="27.95" customHeight="1">
      <c r="A1" s="138" t="s">
        <v>435</v>
      </c>
      <c r="B1" s="138"/>
      <c r="C1" s="138"/>
      <c r="D1" s="138"/>
      <c r="E1" s="138"/>
      <c r="F1" s="138"/>
      <c r="G1" s="138"/>
      <c r="H1" s="138"/>
      <c r="I1" s="5"/>
      <c r="J1" s="5"/>
      <c r="K1" s="5"/>
      <c r="L1" s="5"/>
      <c r="M1" s="5"/>
      <c r="N1" s="5"/>
      <c r="O1" s="5"/>
      <c r="P1" s="5"/>
      <c r="Q1" s="5"/>
      <c r="R1" s="5"/>
      <c r="S1" s="5"/>
      <c r="T1" s="5"/>
      <c r="U1" s="5"/>
      <c r="V1" s="5"/>
      <c r="W1" s="5"/>
      <c r="X1" s="5"/>
      <c r="Y1" s="5"/>
      <c r="Z1" s="5"/>
    </row>
    <row r="2" spans="1:26" ht="32.1" customHeight="1">
      <c r="A2" s="139" t="s">
        <v>436</v>
      </c>
      <c r="B2" s="139"/>
      <c r="C2" s="139"/>
      <c r="D2" s="139"/>
      <c r="E2" s="139"/>
      <c r="F2" s="139"/>
      <c r="G2" s="139"/>
      <c r="H2" s="139"/>
      <c r="I2" s="5"/>
      <c r="J2" s="5"/>
      <c r="K2" s="5"/>
      <c r="L2" s="5"/>
      <c r="M2" s="5"/>
      <c r="N2" s="5"/>
      <c r="O2" s="5"/>
      <c r="P2" s="5"/>
      <c r="Q2" s="5"/>
      <c r="R2" s="5"/>
      <c r="S2" s="5"/>
      <c r="T2" s="5"/>
      <c r="U2" s="5"/>
      <c r="V2" s="5"/>
      <c r="W2" s="5"/>
      <c r="X2" s="5"/>
      <c r="Y2" s="5"/>
      <c r="Z2" s="5"/>
    </row>
    <row r="3" spans="1:26">
      <c r="A3" s="5"/>
      <c r="B3" s="5"/>
      <c r="C3" s="5"/>
      <c r="D3" s="5"/>
      <c r="E3" s="5"/>
      <c r="F3" s="5"/>
      <c r="G3" s="5"/>
      <c r="H3" s="5"/>
      <c r="I3" s="5"/>
      <c r="J3" s="5"/>
      <c r="K3" s="5"/>
      <c r="L3" s="5"/>
      <c r="M3" s="5"/>
      <c r="N3" s="5"/>
      <c r="O3" s="5"/>
      <c r="P3" s="5"/>
      <c r="Q3" s="5"/>
      <c r="R3" s="5"/>
      <c r="S3" s="5"/>
      <c r="T3" s="5"/>
      <c r="U3" s="5"/>
      <c r="V3" s="5"/>
      <c r="W3" s="5"/>
      <c r="X3" s="5"/>
      <c r="Y3" s="5"/>
      <c r="Z3" s="5"/>
    </row>
    <row r="4" spans="1:26" ht="15">
      <c r="A4" s="2" t="s">
        <v>437</v>
      </c>
      <c r="B4" s="2" t="s">
        <v>438</v>
      </c>
      <c r="C4" s="2" t="s">
        <v>439</v>
      </c>
      <c r="D4" s="2" t="s">
        <v>440</v>
      </c>
      <c r="E4" s="2" t="s">
        <v>441</v>
      </c>
      <c r="F4" s="2" t="s">
        <v>442</v>
      </c>
      <c r="G4" s="2" t="s">
        <v>443</v>
      </c>
      <c r="H4" s="2" t="s">
        <v>150</v>
      </c>
      <c r="I4" s="5"/>
      <c r="J4" s="5"/>
      <c r="K4" s="5"/>
      <c r="L4" s="5"/>
      <c r="M4" s="5"/>
      <c r="N4" s="5"/>
      <c r="O4" s="5"/>
      <c r="P4" s="5"/>
      <c r="Q4" s="5"/>
      <c r="R4" s="5"/>
      <c r="S4" s="5"/>
      <c r="T4" s="5"/>
      <c r="U4" s="5"/>
      <c r="V4" s="5"/>
      <c r="W4" s="5"/>
      <c r="X4" s="5"/>
      <c r="Y4" s="5"/>
      <c r="Z4" s="5"/>
    </row>
    <row r="5" spans="1:26">
      <c r="A5" s="3" t="s">
        <v>444</v>
      </c>
      <c r="B5" s="31">
        <v>60810</v>
      </c>
      <c r="C5" s="31">
        <v>62426</v>
      </c>
      <c r="D5" s="31">
        <v>65138</v>
      </c>
      <c r="E5" s="31">
        <v>67068</v>
      </c>
      <c r="F5" s="31">
        <v>68999</v>
      </c>
      <c r="G5" s="31">
        <v>70936</v>
      </c>
      <c r="H5" s="3" t="s">
        <v>154</v>
      </c>
      <c r="I5" s="5"/>
      <c r="J5" s="5"/>
      <c r="K5" s="5"/>
      <c r="L5" s="5"/>
      <c r="M5" s="5"/>
      <c r="N5" s="5"/>
      <c r="O5" s="5"/>
      <c r="P5" s="5"/>
      <c r="Q5" s="5"/>
      <c r="R5" s="5"/>
      <c r="S5" s="5"/>
      <c r="T5" s="5"/>
      <c r="U5" s="5"/>
      <c r="V5" s="5"/>
      <c r="W5" s="5"/>
      <c r="X5" s="5"/>
      <c r="Y5" s="5"/>
      <c r="Z5" s="5"/>
    </row>
    <row r="6" spans="1:26">
      <c r="A6" s="3" t="s">
        <v>445</v>
      </c>
      <c r="B6" s="31">
        <v>62426</v>
      </c>
      <c r="C6" s="31">
        <v>65139</v>
      </c>
      <c r="D6" s="31">
        <v>67068</v>
      </c>
      <c r="E6" s="31">
        <v>68999</v>
      </c>
      <c r="F6" s="31">
        <v>70936</v>
      </c>
      <c r="G6" s="31">
        <v>72868</v>
      </c>
      <c r="H6" s="3" t="s">
        <v>154</v>
      </c>
      <c r="I6" s="5"/>
      <c r="J6" s="5"/>
      <c r="K6" s="5"/>
      <c r="L6" s="5"/>
      <c r="M6" s="5"/>
      <c r="N6" s="5"/>
      <c r="O6" s="5"/>
      <c r="P6" s="5"/>
      <c r="Q6" s="5"/>
      <c r="R6" s="5"/>
      <c r="S6" s="5"/>
      <c r="T6" s="5"/>
      <c r="U6" s="5"/>
      <c r="V6" s="5"/>
      <c r="W6" s="5"/>
      <c r="X6" s="5"/>
      <c r="Y6" s="5"/>
      <c r="Z6" s="5"/>
    </row>
    <row r="7" spans="1:26">
      <c r="A7" s="3" t="s">
        <v>438</v>
      </c>
      <c r="B7" s="31">
        <v>65138</v>
      </c>
      <c r="C7" s="31">
        <v>67069</v>
      </c>
      <c r="D7" s="31">
        <v>68999</v>
      </c>
      <c r="E7" s="31">
        <v>70936</v>
      </c>
      <c r="F7" s="31">
        <v>72868</v>
      </c>
      <c r="G7" s="31">
        <v>74804</v>
      </c>
      <c r="H7" s="3" t="s">
        <v>154</v>
      </c>
      <c r="I7" s="5"/>
      <c r="J7" s="5"/>
      <c r="K7" s="5"/>
      <c r="L7" s="5"/>
      <c r="M7" s="5"/>
      <c r="N7" s="5"/>
      <c r="O7" s="5"/>
      <c r="P7" s="5"/>
      <c r="Q7" s="5"/>
      <c r="R7" s="5"/>
      <c r="S7" s="5"/>
      <c r="T7" s="5"/>
      <c r="U7" s="5"/>
      <c r="V7" s="5"/>
      <c r="W7" s="5"/>
      <c r="X7" s="5"/>
      <c r="Y7" s="5"/>
      <c r="Z7" s="5"/>
    </row>
    <row r="8" spans="1:26">
      <c r="A8" s="3" t="s">
        <v>446</v>
      </c>
      <c r="B8" s="31">
        <v>67068</v>
      </c>
      <c r="C8" s="31">
        <v>69000</v>
      </c>
      <c r="D8" s="31">
        <v>70936</v>
      </c>
      <c r="E8" s="31">
        <v>72868</v>
      </c>
      <c r="F8" s="31">
        <v>74804</v>
      </c>
      <c r="G8" s="31">
        <v>76739</v>
      </c>
      <c r="H8" s="3" t="s">
        <v>154</v>
      </c>
      <c r="I8" s="5"/>
      <c r="J8" s="5"/>
      <c r="K8" s="5"/>
      <c r="L8" s="5"/>
      <c r="M8" s="5"/>
      <c r="N8" s="5"/>
      <c r="O8" s="5"/>
      <c r="P8" s="5"/>
      <c r="Q8" s="5"/>
      <c r="R8" s="5"/>
      <c r="S8" s="5"/>
      <c r="T8" s="5"/>
      <c r="U8" s="5"/>
      <c r="V8" s="5"/>
      <c r="W8" s="5"/>
      <c r="X8" s="5"/>
      <c r="Y8" s="5"/>
      <c r="Z8" s="5"/>
    </row>
    <row r="9" spans="1:26">
      <c r="A9" s="3" t="s">
        <v>447</v>
      </c>
      <c r="B9" s="31">
        <v>68999</v>
      </c>
      <c r="C9" s="31">
        <v>70936</v>
      </c>
      <c r="D9" s="31">
        <v>72868</v>
      </c>
      <c r="E9" s="31">
        <v>74804</v>
      </c>
      <c r="F9" s="31">
        <v>76739</v>
      </c>
      <c r="G9" s="31">
        <v>78670</v>
      </c>
      <c r="H9" s="3" t="s">
        <v>154</v>
      </c>
      <c r="I9" s="5"/>
      <c r="J9" s="5"/>
      <c r="K9" s="5"/>
      <c r="L9" s="5"/>
      <c r="M9" s="5"/>
      <c r="N9" s="5"/>
      <c r="O9" s="5"/>
      <c r="P9" s="5"/>
      <c r="Q9" s="5"/>
      <c r="R9" s="5"/>
      <c r="S9" s="5"/>
      <c r="T9" s="5"/>
      <c r="U9" s="5"/>
      <c r="V9" s="5"/>
      <c r="W9" s="5"/>
      <c r="X9" s="5"/>
      <c r="Y9" s="5"/>
      <c r="Z9" s="5"/>
    </row>
    <row r="10" spans="1:26">
      <c r="A10" s="3" t="s">
        <v>448</v>
      </c>
      <c r="B10" s="31">
        <v>70936</v>
      </c>
      <c r="C10" s="31">
        <v>72868</v>
      </c>
      <c r="D10" s="31">
        <v>74804</v>
      </c>
      <c r="E10" s="31">
        <v>76739</v>
      </c>
      <c r="F10" s="31">
        <v>78670</v>
      </c>
      <c r="G10" s="31">
        <v>80602</v>
      </c>
      <c r="H10" s="3" t="s">
        <v>154</v>
      </c>
      <c r="I10" s="5"/>
      <c r="J10" s="5"/>
      <c r="K10" s="5"/>
      <c r="L10" s="5"/>
      <c r="M10" s="5"/>
      <c r="N10" s="5"/>
      <c r="O10" s="5"/>
      <c r="P10" s="5"/>
      <c r="Q10" s="5"/>
      <c r="R10" s="5"/>
      <c r="S10" s="5"/>
      <c r="T10" s="5"/>
      <c r="U10" s="5"/>
      <c r="V10" s="5"/>
      <c r="W10" s="5"/>
      <c r="X10" s="5"/>
      <c r="Y10" s="5"/>
      <c r="Z10" s="5"/>
    </row>
    <row r="11" spans="1:26">
      <c r="A11" s="3" t="s">
        <v>449</v>
      </c>
      <c r="B11" s="31">
        <v>72866</v>
      </c>
      <c r="C11" s="31">
        <v>74832</v>
      </c>
      <c r="D11" s="31">
        <v>76739</v>
      </c>
      <c r="E11" s="31">
        <v>78670</v>
      </c>
      <c r="F11" s="31">
        <v>80602</v>
      </c>
      <c r="G11" s="31">
        <v>82531</v>
      </c>
      <c r="H11" s="3" t="s">
        <v>154</v>
      </c>
      <c r="I11" s="5"/>
      <c r="J11" s="5"/>
      <c r="K11" s="5"/>
      <c r="L11" s="5"/>
      <c r="M11" s="5"/>
      <c r="N11" s="5"/>
      <c r="O11" s="5"/>
      <c r="P11" s="5"/>
      <c r="Q11" s="5"/>
      <c r="R11" s="5"/>
      <c r="S11" s="5"/>
      <c r="T11" s="5"/>
      <c r="U11" s="5"/>
      <c r="V11" s="5"/>
      <c r="W11" s="5"/>
      <c r="X11" s="5"/>
      <c r="Y11" s="5"/>
      <c r="Z11" s="5"/>
    </row>
    <row r="12" spans="1:26">
      <c r="A12" s="3" t="s">
        <v>450</v>
      </c>
      <c r="B12" s="31">
        <v>75710</v>
      </c>
      <c r="C12" s="31">
        <v>76739</v>
      </c>
      <c r="D12" s="31">
        <v>78670</v>
      </c>
      <c r="E12" s="31">
        <v>80602</v>
      </c>
      <c r="F12" s="31">
        <v>82531</v>
      </c>
      <c r="G12" s="31">
        <v>84469</v>
      </c>
      <c r="H12" s="3" t="s">
        <v>154</v>
      </c>
      <c r="I12" s="5"/>
      <c r="J12" s="5"/>
      <c r="K12" s="5"/>
      <c r="L12" s="5"/>
      <c r="M12" s="5"/>
      <c r="N12" s="5"/>
      <c r="O12" s="5"/>
      <c r="P12" s="5"/>
      <c r="Q12" s="5"/>
      <c r="R12" s="5"/>
      <c r="S12" s="5"/>
      <c r="T12" s="5"/>
      <c r="U12" s="5"/>
      <c r="V12" s="5"/>
      <c r="W12" s="5"/>
      <c r="X12" s="5"/>
      <c r="Y12" s="5"/>
      <c r="Z12" s="5"/>
    </row>
    <row r="13" spans="1:26">
      <c r="A13" s="3" t="s">
        <v>451</v>
      </c>
      <c r="B13" s="31">
        <v>77603</v>
      </c>
      <c r="C13" s="31">
        <v>78670</v>
      </c>
      <c r="D13" s="31">
        <v>80602</v>
      </c>
      <c r="E13" s="31">
        <v>82531</v>
      </c>
      <c r="F13" s="31">
        <v>84469</v>
      </c>
      <c r="G13" s="31">
        <v>86398</v>
      </c>
      <c r="H13" s="3" t="s">
        <v>154</v>
      </c>
      <c r="I13" s="5"/>
      <c r="J13" s="5"/>
      <c r="K13" s="5"/>
      <c r="L13" s="5"/>
      <c r="M13" s="5"/>
      <c r="N13" s="5"/>
      <c r="O13" s="5"/>
      <c r="P13" s="5"/>
      <c r="Q13" s="5"/>
      <c r="R13" s="5"/>
      <c r="S13" s="5"/>
      <c r="T13" s="5"/>
      <c r="U13" s="5"/>
      <c r="V13" s="5"/>
      <c r="W13" s="5"/>
      <c r="X13" s="5"/>
      <c r="Y13" s="5"/>
      <c r="Z13" s="5"/>
    </row>
    <row r="14" spans="1:26">
      <c r="A14" s="3" t="s">
        <v>452</v>
      </c>
      <c r="B14" s="31">
        <v>79458</v>
      </c>
      <c r="C14" s="31">
        <v>81508</v>
      </c>
      <c r="D14" s="31">
        <v>82531</v>
      </c>
      <c r="E14" s="31">
        <v>84469</v>
      </c>
      <c r="F14" s="31">
        <v>86398</v>
      </c>
      <c r="G14" s="31">
        <v>88333</v>
      </c>
      <c r="H14" s="3" t="s">
        <v>154</v>
      </c>
      <c r="I14" s="5"/>
      <c r="J14" s="5"/>
      <c r="K14" s="5"/>
      <c r="L14" s="5"/>
      <c r="M14" s="5"/>
      <c r="N14" s="5"/>
      <c r="O14" s="5"/>
      <c r="P14" s="5"/>
      <c r="Q14" s="5"/>
      <c r="R14" s="5"/>
      <c r="S14" s="5"/>
      <c r="T14" s="5"/>
      <c r="U14" s="5"/>
      <c r="V14" s="5"/>
      <c r="W14" s="5"/>
      <c r="X14" s="5"/>
      <c r="Y14" s="5"/>
      <c r="Z14" s="5"/>
    </row>
    <row r="15" spans="1:26">
      <c r="A15" s="3" t="s">
        <v>453</v>
      </c>
      <c r="B15" s="31">
        <v>81281</v>
      </c>
      <c r="C15" s="31">
        <v>83402</v>
      </c>
      <c r="D15" s="31">
        <v>84469</v>
      </c>
      <c r="E15" s="31">
        <v>86398</v>
      </c>
      <c r="F15" s="31">
        <v>88333</v>
      </c>
      <c r="G15" s="31">
        <v>90264</v>
      </c>
      <c r="H15" s="3" t="s">
        <v>154</v>
      </c>
      <c r="I15" s="5"/>
      <c r="J15" s="5"/>
      <c r="K15" s="5"/>
      <c r="L15" s="5"/>
      <c r="M15" s="5"/>
      <c r="N15" s="5"/>
      <c r="O15" s="5"/>
      <c r="P15" s="5"/>
      <c r="Q15" s="5"/>
      <c r="R15" s="5"/>
      <c r="S15" s="5"/>
      <c r="T15" s="5"/>
      <c r="U15" s="5"/>
      <c r="V15" s="5"/>
      <c r="W15" s="5"/>
      <c r="X15" s="5"/>
      <c r="Y15" s="5"/>
      <c r="Z15" s="5"/>
    </row>
    <row r="16" spans="1:26">
      <c r="A16" s="3" t="s">
        <v>454</v>
      </c>
      <c r="B16" s="31">
        <v>83064</v>
      </c>
      <c r="C16" s="31">
        <v>85260</v>
      </c>
      <c r="D16" s="31">
        <v>87307</v>
      </c>
      <c r="E16" s="31">
        <v>88333</v>
      </c>
      <c r="F16" s="31">
        <v>90264</v>
      </c>
      <c r="G16" s="31">
        <v>92196</v>
      </c>
      <c r="H16" s="3" t="s">
        <v>154</v>
      </c>
      <c r="I16" s="5"/>
      <c r="J16" s="5"/>
      <c r="K16" s="5"/>
      <c r="L16" s="5"/>
      <c r="M16" s="5"/>
      <c r="N16" s="5"/>
      <c r="O16" s="5"/>
      <c r="P16" s="5"/>
      <c r="Q16" s="5"/>
      <c r="R16" s="5"/>
      <c r="S16" s="5"/>
      <c r="T16" s="5"/>
      <c r="U16" s="5"/>
      <c r="V16" s="5"/>
      <c r="W16" s="5"/>
      <c r="X16" s="5"/>
      <c r="Y16" s="5"/>
      <c r="Z16" s="5"/>
    </row>
    <row r="17" spans="1:26">
      <c r="A17" s="3" t="s">
        <v>455</v>
      </c>
      <c r="B17" s="31"/>
      <c r="C17" s="31">
        <v>87078</v>
      </c>
      <c r="D17" s="31">
        <v>88818</v>
      </c>
      <c r="E17" s="31">
        <v>90264</v>
      </c>
      <c r="F17" s="31">
        <v>92196</v>
      </c>
      <c r="G17" s="31">
        <v>94131</v>
      </c>
      <c r="H17" s="3" t="s">
        <v>154</v>
      </c>
      <c r="I17" s="5"/>
      <c r="J17" s="5"/>
      <c r="K17" s="5"/>
      <c r="L17" s="5"/>
      <c r="M17" s="5"/>
      <c r="N17" s="5"/>
      <c r="O17" s="5"/>
      <c r="P17" s="5"/>
      <c r="Q17" s="5"/>
      <c r="R17" s="5"/>
      <c r="S17" s="5"/>
      <c r="T17" s="5"/>
      <c r="U17" s="5"/>
      <c r="V17" s="5"/>
      <c r="W17" s="5"/>
      <c r="X17" s="5"/>
      <c r="Y17" s="5"/>
      <c r="Z17" s="5"/>
    </row>
    <row r="18" spans="1:26">
      <c r="A18" s="3" t="s">
        <v>456</v>
      </c>
      <c r="B18" s="31"/>
      <c r="C18" s="31">
        <v>88864</v>
      </c>
      <c r="D18" s="31">
        <v>90713</v>
      </c>
      <c r="E18" s="31">
        <v>92196</v>
      </c>
      <c r="F18" s="31">
        <v>94131</v>
      </c>
      <c r="G18" s="31">
        <v>96066</v>
      </c>
      <c r="H18" s="3" t="s">
        <v>154</v>
      </c>
      <c r="I18" s="5"/>
      <c r="J18" s="5"/>
      <c r="K18" s="5"/>
      <c r="L18" s="5"/>
      <c r="M18" s="5"/>
      <c r="N18" s="5"/>
      <c r="O18" s="5"/>
      <c r="P18" s="5"/>
      <c r="Q18" s="5"/>
      <c r="R18" s="5"/>
      <c r="S18" s="5"/>
      <c r="T18" s="5"/>
      <c r="U18" s="5"/>
      <c r="V18" s="5"/>
      <c r="W18" s="5"/>
      <c r="X18" s="5"/>
      <c r="Y18" s="5"/>
      <c r="Z18" s="5"/>
    </row>
    <row r="19" spans="1:26">
      <c r="A19" s="3" t="s">
        <v>457</v>
      </c>
      <c r="B19" s="31"/>
      <c r="C19" s="31"/>
      <c r="D19" s="31">
        <v>92571</v>
      </c>
      <c r="E19" s="31">
        <v>95036</v>
      </c>
      <c r="F19" s="31">
        <v>96972</v>
      </c>
      <c r="G19" s="31">
        <v>98912</v>
      </c>
      <c r="H19" s="3" t="s">
        <v>154</v>
      </c>
      <c r="I19" s="5"/>
      <c r="J19" s="5"/>
      <c r="K19" s="5"/>
      <c r="L19" s="5"/>
      <c r="M19" s="5"/>
      <c r="N19" s="5"/>
      <c r="O19" s="5"/>
      <c r="P19" s="5"/>
      <c r="Q19" s="5"/>
      <c r="R19" s="5"/>
      <c r="S19" s="5"/>
      <c r="T19" s="5"/>
      <c r="U19" s="5"/>
      <c r="V19" s="5"/>
      <c r="W19" s="5"/>
      <c r="X19" s="5"/>
      <c r="Y19" s="5"/>
      <c r="Z19" s="5"/>
    </row>
    <row r="20" spans="1:26">
      <c r="A20" s="3" t="s">
        <v>458</v>
      </c>
      <c r="B20" s="31"/>
      <c r="C20" s="31"/>
      <c r="D20" s="31">
        <v>94390</v>
      </c>
      <c r="E20" s="31">
        <v>96928</v>
      </c>
      <c r="F20" s="31">
        <v>98868</v>
      </c>
      <c r="G20" s="31">
        <v>100652</v>
      </c>
      <c r="H20" s="3" t="s">
        <v>154</v>
      </c>
      <c r="I20" s="5"/>
      <c r="J20" s="5"/>
      <c r="K20" s="5"/>
      <c r="L20" s="5"/>
      <c r="M20" s="5"/>
      <c r="N20" s="5"/>
      <c r="O20" s="5"/>
      <c r="P20" s="5"/>
      <c r="Q20" s="5"/>
      <c r="R20" s="5"/>
      <c r="S20" s="5"/>
      <c r="T20" s="5"/>
      <c r="U20" s="5"/>
      <c r="V20" s="5"/>
      <c r="W20" s="5"/>
      <c r="X20" s="5"/>
      <c r="Y20" s="5"/>
      <c r="Z20" s="5"/>
    </row>
    <row r="21" spans="1:26">
      <c r="A21" s="3" t="s">
        <v>459</v>
      </c>
      <c r="B21" s="31"/>
      <c r="C21" s="31"/>
      <c r="D21" s="31">
        <v>96174</v>
      </c>
      <c r="E21" s="31">
        <v>98786</v>
      </c>
      <c r="F21" s="31">
        <v>100725</v>
      </c>
      <c r="G21" s="31">
        <v>102544</v>
      </c>
      <c r="H21" s="3" t="s">
        <v>154</v>
      </c>
      <c r="I21" s="5"/>
      <c r="J21" s="5"/>
      <c r="K21" s="5"/>
      <c r="L21" s="5"/>
      <c r="M21" s="5"/>
      <c r="N21" s="5"/>
      <c r="O21" s="5"/>
      <c r="P21" s="5"/>
      <c r="Q21" s="5"/>
      <c r="R21" s="5"/>
      <c r="S21" s="5"/>
      <c r="T21" s="5"/>
      <c r="U21" s="5"/>
      <c r="V21" s="5"/>
      <c r="W21" s="5"/>
      <c r="X21" s="5"/>
      <c r="Y21" s="5"/>
      <c r="Z21" s="5"/>
    </row>
    <row r="22" spans="1:26">
      <c r="A22" s="3" t="s">
        <v>460</v>
      </c>
      <c r="B22" s="31"/>
      <c r="C22" s="31"/>
      <c r="D22" s="31"/>
      <c r="E22" s="31">
        <v>100606</v>
      </c>
      <c r="F22" s="31">
        <v>102543</v>
      </c>
      <c r="G22" s="31">
        <v>104403</v>
      </c>
      <c r="H22" s="3" t="s">
        <v>154</v>
      </c>
      <c r="I22" s="5"/>
      <c r="J22" s="5"/>
      <c r="K22" s="5"/>
      <c r="L22" s="5"/>
      <c r="M22" s="5"/>
      <c r="N22" s="5"/>
      <c r="O22" s="5"/>
      <c r="P22" s="5"/>
      <c r="Q22" s="5"/>
      <c r="R22" s="5"/>
      <c r="S22" s="5"/>
      <c r="T22" s="5"/>
      <c r="U22" s="5"/>
      <c r="V22" s="5"/>
      <c r="W22" s="5"/>
      <c r="X22" s="5"/>
      <c r="Y22" s="5"/>
      <c r="Z22" s="5"/>
    </row>
    <row r="23" spans="1:26">
      <c r="A23" s="3" t="s">
        <v>461</v>
      </c>
      <c r="B23" s="31"/>
      <c r="C23" s="31"/>
      <c r="D23" s="31"/>
      <c r="E23" s="31">
        <v>102392</v>
      </c>
      <c r="F23" s="31">
        <v>104327</v>
      </c>
      <c r="G23" s="31">
        <v>106220</v>
      </c>
      <c r="H23" s="3" t="s">
        <v>154</v>
      </c>
      <c r="I23" s="5"/>
      <c r="J23" s="5"/>
      <c r="K23" s="5"/>
      <c r="L23" s="5"/>
      <c r="M23" s="5"/>
      <c r="N23" s="5"/>
      <c r="O23" s="5"/>
      <c r="P23" s="5"/>
      <c r="Q23" s="5"/>
      <c r="R23" s="5"/>
      <c r="S23" s="5"/>
      <c r="T23" s="5"/>
      <c r="U23" s="5"/>
      <c r="V23" s="5"/>
      <c r="W23" s="5"/>
      <c r="X23" s="5"/>
      <c r="Y23" s="5"/>
      <c r="Z23" s="5"/>
    </row>
    <row r="24" spans="1:26">
      <c r="A24" s="3" t="s">
        <v>462</v>
      </c>
      <c r="B24" s="31"/>
      <c r="C24" s="31"/>
      <c r="D24" s="31"/>
      <c r="E24" s="31"/>
      <c r="F24" s="31"/>
      <c r="G24" s="31">
        <v>108006</v>
      </c>
      <c r="H24" s="3" t="s">
        <v>154</v>
      </c>
      <c r="I24" s="5"/>
      <c r="J24" s="5"/>
      <c r="K24" s="5"/>
      <c r="L24" s="5"/>
      <c r="M24" s="5"/>
      <c r="N24" s="5"/>
      <c r="O24" s="5"/>
      <c r="P24" s="5"/>
      <c r="Q24" s="5"/>
      <c r="R24" s="5"/>
      <c r="S24" s="5"/>
      <c r="T24" s="5"/>
      <c r="U24" s="5"/>
      <c r="V24" s="5"/>
      <c r="W24" s="5"/>
      <c r="X24" s="5"/>
      <c r="Y24" s="5"/>
      <c r="Z24" s="5"/>
    </row>
    <row r="25" spans="1:26">
      <c r="A25" s="3" t="s">
        <v>463</v>
      </c>
      <c r="B25" s="31"/>
      <c r="C25" s="31"/>
      <c r="D25" s="31"/>
      <c r="E25" s="31"/>
      <c r="F25" s="31"/>
      <c r="G25" s="31">
        <v>110165</v>
      </c>
      <c r="H25" s="3" t="s">
        <v>154</v>
      </c>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21" customHeight="1">
      <c r="A28" s="140" t="s">
        <v>464</v>
      </c>
      <c r="B28" s="140"/>
      <c r="C28" s="140"/>
      <c r="D28" s="140"/>
      <c r="E28" s="140"/>
      <c r="F28" s="140"/>
      <c r="G28" s="140"/>
      <c r="H28" s="140"/>
      <c r="I28" s="5"/>
      <c r="J28" s="5"/>
      <c r="K28" s="5"/>
      <c r="L28" s="5"/>
      <c r="M28" s="5"/>
      <c r="N28" s="5"/>
      <c r="O28" s="5"/>
      <c r="P28" s="5"/>
      <c r="Q28" s="5"/>
      <c r="R28" s="5"/>
      <c r="S28" s="5"/>
      <c r="T28" s="5"/>
      <c r="U28" s="5"/>
      <c r="V28" s="5"/>
      <c r="W28" s="5"/>
      <c r="X28" s="5"/>
      <c r="Y28" s="5"/>
      <c r="Z28" s="5"/>
    </row>
    <row r="29" spans="1:26" ht="30">
      <c r="A29" s="2" t="s">
        <v>129</v>
      </c>
      <c r="B29" s="2" t="s">
        <v>465</v>
      </c>
      <c r="C29" s="2" t="s">
        <v>150</v>
      </c>
      <c r="D29" s="5"/>
      <c r="E29" s="5"/>
      <c r="F29" s="5"/>
      <c r="G29" s="5"/>
      <c r="H29" s="5"/>
      <c r="I29" s="5"/>
      <c r="J29" s="5"/>
      <c r="K29" s="5"/>
      <c r="L29" s="5"/>
      <c r="M29" s="5"/>
      <c r="N29" s="5"/>
      <c r="O29" s="5"/>
      <c r="P29" s="5"/>
      <c r="Q29" s="5"/>
      <c r="R29" s="5"/>
      <c r="S29" s="5"/>
      <c r="T29" s="5"/>
      <c r="U29" s="5"/>
      <c r="V29" s="5"/>
      <c r="W29" s="5"/>
      <c r="X29" s="5"/>
      <c r="Y29" s="5"/>
      <c r="Z29" s="5"/>
    </row>
    <row r="30" spans="1:26" ht="114">
      <c r="A30" s="3" t="s">
        <v>466</v>
      </c>
      <c r="B30" s="3" t="s">
        <v>467</v>
      </c>
      <c r="C30" s="3" t="s">
        <v>468</v>
      </c>
      <c r="D30" s="5"/>
      <c r="E30" s="5"/>
      <c r="F30" s="5"/>
      <c r="G30" s="5"/>
      <c r="H30" s="5"/>
      <c r="I30" s="5"/>
      <c r="J30" s="5"/>
      <c r="K30" s="5"/>
      <c r="L30" s="5"/>
      <c r="M30" s="5"/>
      <c r="N30" s="5"/>
      <c r="O30" s="5"/>
      <c r="P30" s="5"/>
      <c r="Q30" s="5"/>
      <c r="R30" s="5"/>
      <c r="S30" s="5"/>
      <c r="T30" s="5"/>
      <c r="U30" s="5"/>
      <c r="V30" s="5"/>
      <c r="W30" s="5"/>
      <c r="X30" s="5"/>
      <c r="Y30" s="5"/>
      <c r="Z30" s="5"/>
    </row>
    <row r="31" spans="1:26" ht="28.5">
      <c r="A31" s="3" t="s">
        <v>469</v>
      </c>
      <c r="B31" s="3" t="s">
        <v>470</v>
      </c>
      <c r="C31" s="3" t="s">
        <v>471</v>
      </c>
      <c r="D31" s="5"/>
      <c r="E31" s="5"/>
      <c r="F31" s="5"/>
      <c r="G31" s="5"/>
      <c r="H31" s="5"/>
      <c r="I31" s="5"/>
      <c r="J31" s="5"/>
      <c r="K31" s="5"/>
      <c r="L31" s="5"/>
      <c r="M31" s="5"/>
      <c r="N31" s="5"/>
      <c r="O31" s="5"/>
      <c r="P31" s="5"/>
      <c r="Q31" s="5"/>
      <c r="R31" s="5"/>
      <c r="S31" s="5"/>
      <c r="T31" s="5"/>
      <c r="U31" s="5"/>
      <c r="V31" s="5"/>
      <c r="W31" s="5"/>
      <c r="X31" s="5"/>
      <c r="Y31" s="5"/>
      <c r="Z31" s="5"/>
    </row>
    <row r="32" spans="1:26" ht="57">
      <c r="A32" s="3" t="s">
        <v>472</v>
      </c>
      <c r="B32" s="3" t="s">
        <v>473</v>
      </c>
      <c r="C32" s="3" t="s">
        <v>471</v>
      </c>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mergeCells count="3">
    <mergeCell ref="A1:H1"/>
    <mergeCell ref="A2:H2"/>
    <mergeCell ref="A28:H2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00"/>
  <sheetViews>
    <sheetView workbookViewId="0">
      <selection sqref="A1:L1"/>
    </sheetView>
  </sheetViews>
  <sheetFormatPr defaultRowHeight="14.25"/>
  <cols>
    <col min="1" max="1" width="30.375" customWidth="1"/>
    <col min="2" max="2" width="6.625" customWidth="1"/>
    <col min="3" max="10" width="11" customWidth="1"/>
    <col min="11" max="11" width="13" customWidth="1"/>
    <col min="12" max="12" width="14" customWidth="1"/>
  </cols>
  <sheetData>
    <row r="1" spans="1:26" ht="27.95" customHeight="1">
      <c r="A1" s="138" t="s">
        <v>474</v>
      </c>
      <c r="B1" s="138"/>
      <c r="C1" s="138"/>
      <c r="D1" s="138"/>
      <c r="E1" s="138"/>
      <c r="F1" s="138"/>
      <c r="G1" s="138"/>
      <c r="H1" s="138"/>
      <c r="I1" s="138"/>
      <c r="J1" s="138"/>
      <c r="K1" s="138"/>
      <c r="L1" s="138"/>
      <c r="M1" s="5"/>
      <c r="N1" s="5"/>
      <c r="O1" s="5"/>
      <c r="P1" s="5"/>
      <c r="Q1" s="5"/>
      <c r="R1" s="5"/>
      <c r="S1" s="5"/>
      <c r="T1" s="5"/>
      <c r="U1" s="5"/>
      <c r="V1" s="5"/>
      <c r="W1" s="5"/>
      <c r="X1" s="5"/>
      <c r="Y1" s="5"/>
      <c r="Z1" s="5"/>
    </row>
    <row r="2" spans="1:26" ht="32.1" customHeight="1">
      <c r="A2" s="139" t="s">
        <v>475</v>
      </c>
      <c r="B2" s="139"/>
      <c r="C2" s="139"/>
      <c r="D2" s="139"/>
      <c r="E2" s="139"/>
      <c r="F2" s="139"/>
      <c r="G2" s="139"/>
      <c r="H2" s="139"/>
      <c r="I2" s="139"/>
      <c r="J2" s="139"/>
      <c r="K2" s="139"/>
      <c r="L2" s="139"/>
      <c r="M2" s="5"/>
      <c r="N2" s="5"/>
      <c r="O2" s="5"/>
      <c r="P2" s="5"/>
      <c r="Q2" s="5"/>
      <c r="R2" s="5"/>
      <c r="S2" s="5"/>
      <c r="T2" s="5"/>
      <c r="U2" s="5"/>
      <c r="V2" s="5"/>
      <c r="W2" s="5"/>
      <c r="X2" s="5"/>
      <c r="Y2" s="5"/>
      <c r="Z2" s="5"/>
    </row>
    <row r="3" spans="1:26">
      <c r="A3" s="5"/>
      <c r="B3" s="5"/>
      <c r="C3" s="5"/>
      <c r="D3" s="5"/>
      <c r="E3" s="5"/>
      <c r="F3" s="5"/>
      <c r="G3" s="5"/>
      <c r="H3" s="5"/>
      <c r="I3" s="5"/>
      <c r="J3" s="5"/>
      <c r="K3" s="5"/>
      <c r="L3" s="5"/>
      <c r="M3" s="5"/>
      <c r="N3" s="5"/>
      <c r="O3" s="5"/>
      <c r="P3" s="5"/>
      <c r="Q3" s="5"/>
      <c r="R3" s="5"/>
      <c r="S3" s="5"/>
      <c r="T3" s="5"/>
      <c r="U3" s="5"/>
      <c r="V3" s="5"/>
      <c r="W3" s="5"/>
      <c r="X3" s="5"/>
      <c r="Y3" s="5"/>
      <c r="Z3" s="5"/>
    </row>
    <row r="4" spans="1:26" ht="21" customHeight="1">
      <c r="A4" s="140" t="s">
        <v>476</v>
      </c>
      <c r="B4" s="140"/>
      <c r="C4" s="140"/>
      <c r="D4" s="140"/>
      <c r="E4" s="140"/>
      <c r="F4" s="140"/>
      <c r="G4" s="140"/>
      <c r="H4" s="140"/>
      <c r="I4" s="140"/>
      <c r="J4" s="140"/>
      <c r="K4" s="140"/>
      <c r="L4" s="140"/>
      <c r="M4" s="5"/>
      <c r="N4" s="5"/>
      <c r="O4" s="5"/>
      <c r="P4" s="5"/>
      <c r="Q4" s="5"/>
      <c r="R4" s="5"/>
      <c r="S4" s="5"/>
      <c r="T4" s="5"/>
      <c r="U4" s="5"/>
      <c r="V4" s="5"/>
      <c r="W4" s="5"/>
      <c r="X4" s="5"/>
      <c r="Y4" s="5"/>
      <c r="Z4" s="5"/>
    </row>
    <row r="5" spans="1:26" ht="30">
      <c r="A5" s="2" t="s">
        <v>477</v>
      </c>
      <c r="B5" s="2" t="s">
        <v>478</v>
      </c>
      <c r="C5" s="2" t="s">
        <v>479</v>
      </c>
      <c r="D5" s="5"/>
      <c r="E5" s="5"/>
      <c r="F5" s="5"/>
      <c r="G5" s="5"/>
      <c r="H5" s="5"/>
      <c r="I5" s="5"/>
      <c r="J5" s="5"/>
      <c r="K5" s="5"/>
      <c r="L5" s="5"/>
      <c r="M5" s="5"/>
      <c r="N5" s="5"/>
      <c r="O5" s="5"/>
      <c r="P5" s="5"/>
      <c r="Q5" s="5"/>
      <c r="R5" s="5"/>
      <c r="S5" s="5"/>
      <c r="T5" s="5"/>
      <c r="U5" s="5"/>
      <c r="V5" s="5"/>
      <c r="W5" s="5"/>
      <c r="X5" s="5"/>
      <c r="Y5" s="5"/>
      <c r="Z5" s="5"/>
    </row>
    <row r="6" spans="1:26">
      <c r="A6" s="5" t="s">
        <v>480</v>
      </c>
      <c r="B6" s="5">
        <v>4</v>
      </c>
      <c r="C6" s="5" t="s">
        <v>481</v>
      </c>
      <c r="D6" s="5"/>
      <c r="E6" s="5"/>
      <c r="F6" s="5"/>
      <c r="G6" s="5"/>
      <c r="H6" s="5"/>
      <c r="I6" s="5"/>
      <c r="J6" s="5"/>
      <c r="K6" s="5"/>
      <c r="L6" s="5"/>
      <c r="M6" s="5"/>
      <c r="N6" s="5"/>
      <c r="O6" s="5"/>
      <c r="P6" s="5"/>
      <c r="Q6" s="5"/>
      <c r="R6" s="5"/>
      <c r="S6" s="5"/>
      <c r="T6" s="5"/>
      <c r="U6" s="5"/>
      <c r="V6" s="5"/>
      <c r="W6" s="5"/>
      <c r="X6" s="5"/>
      <c r="Y6" s="5"/>
      <c r="Z6" s="5"/>
    </row>
    <row r="7" spans="1:26">
      <c r="A7" s="5" t="s">
        <v>482</v>
      </c>
      <c r="B7" s="5">
        <v>4</v>
      </c>
      <c r="C7" s="5" t="s">
        <v>481</v>
      </c>
      <c r="D7" s="5"/>
      <c r="E7" s="5"/>
      <c r="F7" s="5"/>
      <c r="G7" s="5"/>
      <c r="H7" s="5"/>
      <c r="I7" s="5"/>
      <c r="J7" s="5"/>
      <c r="K7" s="5"/>
      <c r="L7" s="5"/>
      <c r="M7" s="5"/>
      <c r="N7" s="5"/>
      <c r="O7" s="5"/>
      <c r="P7" s="5"/>
      <c r="Q7" s="5"/>
      <c r="R7" s="5"/>
      <c r="S7" s="5"/>
      <c r="T7" s="5"/>
      <c r="U7" s="5"/>
      <c r="V7" s="5"/>
      <c r="W7" s="5"/>
      <c r="X7" s="5"/>
      <c r="Y7" s="5"/>
      <c r="Z7" s="5"/>
    </row>
    <row r="8" spans="1:26">
      <c r="A8" s="5" t="s">
        <v>483</v>
      </c>
      <c r="B8" s="5">
        <v>4</v>
      </c>
      <c r="C8" s="5" t="s">
        <v>481</v>
      </c>
      <c r="D8" s="5"/>
      <c r="E8" s="5"/>
      <c r="F8" s="5"/>
      <c r="G8" s="5"/>
      <c r="H8" s="5"/>
      <c r="I8" s="5"/>
      <c r="J8" s="5"/>
      <c r="K8" s="5"/>
      <c r="L8" s="5"/>
      <c r="M8" s="5"/>
      <c r="N8" s="5"/>
      <c r="O8" s="5"/>
      <c r="P8" s="5"/>
      <c r="Q8" s="5"/>
      <c r="R8" s="5"/>
      <c r="S8" s="5"/>
      <c r="T8" s="5"/>
      <c r="U8" s="5"/>
      <c r="V8" s="5"/>
      <c r="W8" s="5"/>
      <c r="X8" s="5"/>
      <c r="Y8" s="5"/>
      <c r="Z8" s="5"/>
    </row>
    <row r="9" spans="1:26">
      <c r="A9" s="5" t="s">
        <v>484</v>
      </c>
      <c r="B9" s="5">
        <v>6</v>
      </c>
      <c r="C9" s="5" t="s">
        <v>481</v>
      </c>
      <c r="D9" s="5"/>
      <c r="E9" s="5"/>
      <c r="F9" s="5"/>
      <c r="G9" s="5"/>
      <c r="H9" s="5"/>
      <c r="I9" s="5"/>
      <c r="J9" s="5"/>
      <c r="K9" s="5"/>
      <c r="L9" s="5"/>
      <c r="M9" s="5"/>
      <c r="N9" s="5"/>
      <c r="O9" s="5"/>
      <c r="P9" s="5"/>
      <c r="Q9" s="5"/>
      <c r="R9" s="5"/>
      <c r="S9" s="5"/>
      <c r="T9" s="5"/>
      <c r="U9" s="5"/>
      <c r="V9" s="5"/>
      <c r="W9" s="5"/>
      <c r="X9" s="5"/>
      <c r="Y9" s="5"/>
      <c r="Z9" s="5"/>
    </row>
    <row r="10" spans="1:26">
      <c r="A10" s="5" t="s">
        <v>485</v>
      </c>
      <c r="B10" s="5">
        <v>7</v>
      </c>
      <c r="C10" s="5" t="s">
        <v>481</v>
      </c>
      <c r="D10" s="5"/>
      <c r="E10" s="5"/>
      <c r="F10" s="5"/>
      <c r="G10" s="5"/>
      <c r="H10" s="5"/>
      <c r="I10" s="5"/>
      <c r="J10" s="5"/>
      <c r="K10" s="5"/>
      <c r="L10" s="5"/>
      <c r="M10" s="5"/>
      <c r="N10" s="5"/>
      <c r="O10" s="5"/>
      <c r="P10" s="5"/>
      <c r="Q10" s="5"/>
      <c r="R10" s="5"/>
      <c r="S10" s="5"/>
      <c r="T10" s="5"/>
      <c r="U10" s="5"/>
      <c r="V10" s="5"/>
      <c r="W10" s="5"/>
      <c r="X10" s="5"/>
      <c r="Y10" s="5"/>
      <c r="Z10" s="5"/>
    </row>
    <row r="11" spans="1:26">
      <c r="A11" s="5" t="s">
        <v>486</v>
      </c>
      <c r="B11" s="5">
        <v>7</v>
      </c>
      <c r="C11" s="5" t="s">
        <v>481</v>
      </c>
      <c r="D11" s="5"/>
      <c r="E11" s="5"/>
      <c r="F11" s="5"/>
      <c r="G11" s="5"/>
      <c r="H11" s="5"/>
      <c r="I11" s="5"/>
      <c r="J11" s="5"/>
      <c r="K11" s="5"/>
      <c r="L11" s="5"/>
      <c r="M11" s="5"/>
      <c r="N11" s="5"/>
      <c r="O11" s="5"/>
      <c r="P11" s="5"/>
      <c r="Q11" s="5"/>
      <c r="R11" s="5"/>
      <c r="S11" s="5"/>
      <c r="T11" s="5"/>
      <c r="U11" s="5"/>
      <c r="V11" s="5"/>
      <c r="W11" s="5"/>
      <c r="X11" s="5"/>
      <c r="Y11" s="5"/>
      <c r="Z11" s="5"/>
    </row>
    <row r="12" spans="1:26">
      <c r="A12" s="5" t="s">
        <v>487</v>
      </c>
      <c r="B12" s="5">
        <v>7</v>
      </c>
      <c r="C12" s="5" t="s">
        <v>481</v>
      </c>
      <c r="D12" s="5"/>
      <c r="E12" s="5"/>
      <c r="F12" s="5"/>
      <c r="G12" s="5"/>
      <c r="H12" s="5"/>
      <c r="I12" s="5"/>
      <c r="J12" s="5"/>
      <c r="K12" s="5"/>
      <c r="L12" s="5"/>
      <c r="M12" s="5"/>
      <c r="N12" s="5"/>
      <c r="O12" s="5"/>
      <c r="P12" s="5"/>
      <c r="Q12" s="5"/>
      <c r="R12" s="5"/>
      <c r="S12" s="5"/>
      <c r="T12" s="5"/>
      <c r="U12" s="5"/>
      <c r="V12" s="5"/>
      <c r="W12" s="5"/>
      <c r="X12" s="5"/>
      <c r="Y12" s="5"/>
      <c r="Z12" s="5"/>
    </row>
    <row r="13" spans="1:26">
      <c r="A13" s="5" t="s">
        <v>488</v>
      </c>
      <c r="B13" s="5">
        <v>7</v>
      </c>
      <c r="C13" s="5" t="s">
        <v>481</v>
      </c>
      <c r="D13" s="5"/>
      <c r="E13" s="5"/>
      <c r="F13" s="5"/>
      <c r="G13" s="5"/>
      <c r="H13" s="5"/>
      <c r="I13" s="5"/>
      <c r="J13" s="5"/>
      <c r="K13" s="5"/>
      <c r="L13" s="5"/>
      <c r="M13" s="5"/>
      <c r="N13" s="5"/>
      <c r="O13" s="5"/>
      <c r="P13" s="5"/>
      <c r="Q13" s="5"/>
      <c r="R13" s="5"/>
      <c r="S13" s="5"/>
      <c r="T13" s="5"/>
      <c r="U13" s="5"/>
      <c r="V13" s="5"/>
      <c r="W13" s="5"/>
      <c r="X13" s="5"/>
      <c r="Y13" s="5"/>
      <c r="Z13" s="5"/>
    </row>
    <row r="14" spans="1:26">
      <c r="A14" s="5" t="s">
        <v>489</v>
      </c>
      <c r="B14" s="5">
        <v>7</v>
      </c>
      <c r="C14" s="5" t="s">
        <v>481</v>
      </c>
      <c r="D14" s="5"/>
      <c r="E14" s="5"/>
      <c r="F14" s="5"/>
      <c r="G14" s="5"/>
      <c r="H14" s="5"/>
      <c r="I14" s="5"/>
      <c r="J14" s="5"/>
      <c r="K14" s="5"/>
      <c r="L14" s="5"/>
      <c r="M14" s="5"/>
      <c r="N14" s="5"/>
      <c r="O14" s="5"/>
      <c r="P14" s="5"/>
      <c r="Q14" s="5"/>
      <c r="R14" s="5"/>
      <c r="S14" s="5"/>
      <c r="T14" s="5"/>
      <c r="U14" s="5"/>
      <c r="V14" s="5"/>
      <c r="W14" s="5"/>
      <c r="X14" s="5"/>
      <c r="Y14" s="5"/>
      <c r="Z14" s="5"/>
    </row>
    <row r="15" spans="1:26">
      <c r="A15" s="5" t="s">
        <v>490</v>
      </c>
      <c r="B15" s="5">
        <v>7</v>
      </c>
      <c r="C15" s="5" t="s">
        <v>481</v>
      </c>
      <c r="D15" s="5"/>
      <c r="E15" s="5"/>
      <c r="F15" s="5"/>
      <c r="G15" s="5"/>
      <c r="H15" s="5"/>
      <c r="I15" s="5"/>
      <c r="J15" s="5"/>
      <c r="K15" s="5"/>
      <c r="L15" s="5"/>
      <c r="M15" s="5"/>
      <c r="N15" s="5"/>
      <c r="O15" s="5"/>
      <c r="P15" s="5"/>
      <c r="Q15" s="5"/>
      <c r="R15" s="5"/>
      <c r="S15" s="5"/>
      <c r="T15" s="5"/>
      <c r="U15" s="5"/>
      <c r="V15" s="5"/>
      <c r="W15" s="5"/>
      <c r="X15" s="5"/>
      <c r="Y15" s="5"/>
      <c r="Z15" s="5"/>
    </row>
    <row r="16" spans="1:26">
      <c r="A16" s="5" t="s">
        <v>491</v>
      </c>
      <c r="B16" s="5">
        <v>7</v>
      </c>
      <c r="C16" s="5" t="s">
        <v>481</v>
      </c>
      <c r="D16" s="5"/>
      <c r="E16" s="5"/>
      <c r="F16" s="5"/>
      <c r="G16" s="5"/>
      <c r="H16" s="5"/>
      <c r="I16" s="5"/>
      <c r="J16" s="5"/>
      <c r="K16" s="5"/>
      <c r="L16" s="5"/>
      <c r="M16" s="5"/>
      <c r="N16" s="5"/>
      <c r="O16" s="5"/>
      <c r="P16" s="5"/>
      <c r="Q16" s="5"/>
      <c r="R16" s="5"/>
      <c r="S16" s="5"/>
      <c r="T16" s="5"/>
      <c r="U16" s="5"/>
      <c r="V16" s="5"/>
      <c r="W16" s="5"/>
      <c r="X16" s="5"/>
      <c r="Y16" s="5"/>
      <c r="Z16" s="5"/>
    </row>
    <row r="17" spans="1:26">
      <c r="A17" s="5" t="s">
        <v>492</v>
      </c>
      <c r="B17" s="5">
        <v>1</v>
      </c>
      <c r="C17" s="5" t="s">
        <v>493</v>
      </c>
      <c r="D17" s="5"/>
      <c r="E17" s="5"/>
      <c r="F17" s="5"/>
      <c r="G17" s="5"/>
      <c r="H17" s="5"/>
      <c r="I17" s="5"/>
      <c r="J17" s="5"/>
      <c r="K17" s="5"/>
      <c r="L17" s="5"/>
      <c r="M17" s="5"/>
      <c r="N17" s="5"/>
      <c r="O17" s="5"/>
      <c r="P17" s="5"/>
      <c r="Q17" s="5"/>
      <c r="R17" s="5"/>
      <c r="S17" s="5"/>
      <c r="T17" s="5"/>
      <c r="U17" s="5"/>
      <c r="V17" s="5"/>
      <c r="W17" s="5"/>
      <c r="X17" s="5"/>
      <c r="Y17" s="5"/>
      <c r="Z17" s="5"/>
    </row>
    <row r="18" spans="1:26">
      <c r="A18" s="5" t="s">
        <v>494</v>
      </c>
      <c r="B18" s="5">
        <v>2</v>
      </c>
      <c r="C18" s="5" t="s">
        <v>493</v>
      </c>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21" customHeight="1">
      <c r="A20" s="140" t="s">
        <v>495</v>
      </c>
      <c r="B20" s="140"/>
      <c r="C20" s="140"/>
      <c r="D20" s="140"/>
      <c r="E20" s="140"/>
      <c r="F20" s="140"/>
      <c r="G20" s="140"/>
      <c r="H20" s="140"/>
      <c r="I20" s="140"/>
      <c r="J20" s="140"/>
      <c r="K20" s="140"/>
      <c r="L20" s="140"/>
      <c r="M20" s="5"/>
      <c r="N20" s="5"/>
      <c r="O20" s="5"/>
      <c r="P20" s="5"/>
      <c r="Q20" s="5"/>
      <c r="R20" s="5"/>
      <c r="S20" s="5"/>
      <c r="T20" s="5"/>
      <c r="U20" s="5"/>
      <c r="V20" s="5"/>
      <c r="W20" s="5"/>
      <c r="X20" s="5"/>
      <c r="Y20" s="5"/>
      <c r="Z20" s="5"/>
    </row>
    <row r="21" spans="1:26" ht="15">
      <c r="A21" s="2" t="s">
        <v>496</v>
      </c>
      <c r="B21" s="2" t="s">
        <v>497</v>
      </c>
      <c r="C21" s="2" t="s">
        <v>444</v>
      </c>
      <c r="D21" s="2" t="s">
        <v>445</v>
      </c>
      <c r="E21" s="2" t="s">
        <v>438</v>
      </c>
      <c r="F21" s="2" t="s">
        <v>446</v>
      </c>
      <c r="G21" s="2" t="s">
        <v>447</v>
      </c>
      <c r="H21" s="2" t="s">
        <v>448</v>
      </c>
      <c r="I21" s="2" t="s">
        <v>449</v>
      </c>
      <c r="J21" s="2" t="s">
        <v>450</v>
      </c>
      <c r="K21" s="2" t="s">
        <v>498</v>
      </c>
      <c r="L21" s="2" t="s">
        <v>150</v>
      </c>
      <c r="M21" s="5"/>
      <c r="N21" s="5"/>
      <c r="O21" s="5"/>
      <c r="P21" s="5"/>
      <c r="Q21" s="5"/>
      <c r="R21" s="5"/>
      <c r="S21" s="5"/>
      <c r="T21" s="5"/>
      <c r="U21" s="5"/>
      <c r="V21" s="5"/>
      <c r="W21" s="5"/>
      <c r="X21" s="5"/>
      <c r="Y21" s="5"/>
      <c r="Z21" s="5"/>
    </row>
    <row r="22" spans="1:26">
      <c r="A22" s="5">
        <v>2</v>
      </c>
      <c r="B22" s="43">
        <v>23.28</v>
      </c>
      <c r="C22" s="43">
        <v>24.03</v>
      </c>
      <c r="D22" s="43">
        <v>24.78</v>
      </c>
      <c r="E22" s="43">
        <v>25.72</v>
      </c>
      <c r="F22" s="43">
        <v>26.48</v>
      </c>
      <c r="G22" s="43">
        <v>27.34</v>
      </c>
      <c r="H22" s="43">
        <v>28.25</v>
      </c>
      <c r="I22" s="43">
        <v>29.23</v>
      </c>
      <c r="J22" s="43">
        <v>29.73</v>
      </c>
      <c r="K22" s="43">
        <v>30.32</v>
      </c>
      <c r="L22" s="5" t="s">
        <v>499</v>
      </c>
      <c r="M22" s="5"/>
      <c r="N22" s="5"/>
      <c r="O22" s="5"/>
      <c r="P22" s="5"/>
      <c r="Q22" s="5"/>
      <c r="R22" s="5"/>
      <c r="S22" s="5"/>
      <c r="T22" s="5"/>
      <c r="U22" s="5"/>
      <c r="V22" s="5"/>
      <c r="W22" s="5"/>
      <c r="X22" s="5"/>
      <c r="Y22" s="5"/>
      <c r="Z22" s="5"/>
    </row>
    <row r="23" spans="1:26">
      <c r="A23" s="5">
        <v>3</v>
      </c>
      <c r="B23" s="43">
        <v>23.69</v>
      </c>
      <c r="C23" s="43">
        <v>24.45</v>
      </c>
      <c r="D23" s="43">
        <v>25.21</v>
      </c>
      <c r="E23" s="43">
        <v>26.17</v>
      </c>
      <c r="F23" s="43">
        <v>26.96</v>
      </c>
      <c r="G23" s="43">
        <v>27.81</v>
      </c>
      <c r="H23" s="43">
        <v>28.77</v>
      </c>
      <c r="I23" s="43">
        <v>29.74</v>
      </c>
      <c r="J23" s="43">
        <v>30.25</v>
      </c>
      <c r="K23" s="43">
        <v>30.86</v>
      </c>
      <c r="L23" s="5" t="s">
        <v>499</v>
      </c>
      <c r="M23" s="5"/>
      <c r="N23" s="5"/>
      <c r="O23" s="5"/>
      <c r="P23" s="5"/>
      <c r="Q23" s="5"/>
      <c r="R23" s="5"/>
      <c r="S23" s="5"/>
      <c r="T23" s="5"/>
      <c r="U23" s="5"/>
      <c r="V23" s="5"/>
      <c r="W23" s="5"/>
      <c r="X23" s="5"/>
      <c r="Y23" s="5"/>
      <c r="Z23" s="5"/>
    </row>
    <row r="24" spans="1:26">
      <c r="A24" s="5">
        <v>4</v>
      </c>
      <c r="B24" s="43">
        <v>24.4</v>
      </c>
      <c r="C24" s="43">
        <v>25.19</v>
      </c>
      <c r="D24" s="43">
        <v>26.03</v>
      </c>
      <c r="E24" s="43">
        <v>27.03</v>
      </c>
      <c r="F24" s="43">
        <v>27.84</v>
      </c>
      <c r="G24" s="43">
        <v>28.75</v>
      </c>
      <c r="H24" s="43">
        <v>29.72</v>
      </c>
      <c r="I24" s="43">
        <v>30.77</v>
      </c>
      <c r="J24" s="43">
        <v>31.3</v>
      </c>
      <c r="K24" s="43">
        <v>31.93</v>
      </c>
      <c r="L24" s="5" t="s">
        <v>499</v>
      </c>
      <c r="M24" s="5"/>
      <c r="N24" s="5"/>
      <c r="O24" s="5"/>
      <c r="P24" s="5"/>
      <c r="Q24" s="5"/>
      <c r="R24" s="5"/>
      <c r="S24" s="5"/>
      <c r="T24" s="5"/>
      <c r="U24" s="5"/>
      <c r="V24" s="5"/>
      <c r="W24" s="5"/>
      <c r="X24" s="5"/>
      <c r="Y24" s="5"/>
      <c r="Z24" s="5"/>
    </row>
    <row r="25" spans="1:26">
      <c r="A25" s="5">
        <v>5</v>
      </c>
      <c r="B25" s="43">
        <v>25.07</v>
      </c>
      <c r="C25" s="43">
        <v>25.9</v>
      </c>
      <c r="D25" s="43">
        <v>26.74</v>
      </c>
      <c r="E25" s="43">
        <v>27.8</v>
      </c>
      <c r="F25" s="43">
        <v>28.65</v>
      </c>
      <c r="G25" s="43">
        <v>29.57</v>
      </c>
      <c r="H25" s="43">
        <v>30.59</v>
      </c>
      <c r="I25" s="43">
        <v>31.65</v>
      </c>
      <c r="J25" s="43">
        <v>32.200000000000003</v>
      </c>
      <c r="K25" s="43">
        <v>32.840000000000003</v>
      </c>
      <c r="L25" s="5" t="s">
        <v>499</v>
      </c>
      <c r="M25" s="5"/>
      <c r="N25" s="5"/>
      <c r="O25" s="5"/>
      <c r="P25" s="5"/>
      <c r="Q25" s="5"/>
      <c r="R25" s="5"/>
      <c r="S25" s="5"/>
      <c r="T25" s="5"/>
      <c r="U25" s="5"/>
      <c r="V25" s="5"/>
      <c r="W25" s="5"/>
      <c r="X25" s="5"/>
      <c r="Y25" s="5"/>
      <c r="Z25" s="5"/>
    </row>
    <row r="26" spans="1:26">
      <c r="A26" s="5">
        <v>6</v>
      </c>
      <c r="B26" s="43">
        <v>25.76</v>
      </c>
      <c r="C26" s="43">
        <v>26.58</v>
      </c>
      <c r="D26" s="43">
        <v>27.51</v>
      </c>
      <c r="E26" s="43">
        <v>28.6</v>
      </c>
      <c r="F26" s="43">
        <v>29.47</v>
      </c>
      <c r="G26" s="43">
        <v>30.44</v>
      </c>
      <c r="H26" s="43">
        <v>31.49</v>
      </c>
      <c r="I26" s="43">
        <v>32.61</v>
      </c>
      <c r="J26" s="43">
        <v>33.18</v>
      </c>
      <c r="K26" s="43">
        <v>33.840000000000003</v>
      </c>
      <c r="L26" s="5" t="s">
        <v>499</v>
      </c>
      <c r="M26" s="5"/>
      <c r="N26" s="5"/>
      <c r="O26" s="5"/>
      <c r="P26" s="5"/>
      <c r="Q26" s="5"/>
      <c r="R26" s="5"/>
      <c r="S26" s="5"/>
      <c r="T26" s="5"/>
      <c r="U26" s="5"/>
      <c r="V26" s="5"/>
      <c r="W26" s="5"/>
      <c r="X26" s="5"/>
      <c r="Y26" s="5"/>
      <c r="Z26" s="5"/>
    </row>
    <row r="27" spans="1:26">
      <c r="A27" s="5">
        <v>7</v>
      </c>
      <c r="B27" s="43">
        <v>26.47</v>
      </c>
      <c r="C27" s="43">
        <v>27.39</v>
      </c>
      <c r="D27" s="43">
        <v>28.32</v>
      </c>
      <c r="E27" s="43">
        <v>29.45</v>
      </c>
      <c r="F27" s="43">
        <v>30.36</v>
      </c>
      <c r="G27" s="43">
        <v>31.36</v>
      </c>
      <c r="H27" s="43">
        <v>32.47</v>
      </c>
      <c r="I27" s="43">
        <v>33.6</v>
      </c>
      <c r="J27" s="43">
        <v>34.18</v>
      </c>
      <c r="K27" s="43">
        <v>34.86</v>
      </c>
      <c r="L27" s="5" t="s">
        <v>499</v>
      </c>
      <c r="M27" s="5"/>
      <c r="N27" s="5"/>
      <c r="O27" s="5"/>
      <c r="P27" s="5"/>
      <c r="Q27" s="5"/>
      <c r="R27" s="5"/>
      <c r="S27" s="5"/>
      <c r="T27" s="5"/>
      <c r="U27" s="5"/>
      <c r="V27" s="5"/>
      <c r="W27" s="5"/>
      <c r="X27" s="5"/>
      <c r="Y27" s="5"/>
      <c r="Z27" s="5"/>
    </row>
    <row r="28" spans="1:26">
      <c r="A28" s="5">
        <v>8</v>
      </c>
      <c r="B28" s="43">
        <v>27.24</v>
      </c>
      <c r="C28" s="43">
        <v>28.21</v>
      </c>
      <c r="D28" s="43">
        <v>29.22</v>
      </c>
      <c r="E28" s="43">
        <v>30.42</v>
      </c>
      <c r="F28" s="43">
        <v>31.36</v>
      </c>
      <c r="G28" s="43">
        <v>32.4</v>
      </c>
      <c r="H28" s="43">
        <v>33.549999999999997</v>
      </c>
      <c r="I28" s="43">
        <v>34.71</v>
      </c>
      <c r="J28" s="43">
        <v>35.32</v>
      </c>
      <c r="K28" s="43">
        <v>36.03</v>
      </c>
      <c r="L28" s="5" t="s">
        <v>499</v>
      </c>
      <c r="M28" s="5"/>
      <c r="N28" s="5"/>
      <c r="O28" s="5"/>
      <c r="P28" s="5"/>
      <c r="Q28" s="5"/>
      <c r="R28" s="5"/>
      <c r="S28" s="5"/>
      <c r="T28" s="5"/>
      <c r="U28" s="5"/>
      <c r="V28" s="5"/>
      <c r="W28" s="5"/>
      <c r="X28" s="5"/>
      <c r="Y28" s="5"/>
      <c r="Z28" s="5"/>
    </row>
    <row r="29" spans="1:26">
      <c r="A29" s="5">
        <v>9</v>
      </c>
      <c r="B29" s="43">
        <v>28.11</v>
      </c>
      <c r="C29" s="43">
        <v>29.13</v>
      </c>
      <c r="D29" s="43">
        <v>30.17</v>
      </c>
      <c r="E29" s="43">
        <v>31.4</v>
      </c>
      <c r="F29" s="43">
        <v>32.380000000000003</v>
      </c>
      <c r="G29" s="43">
        <v>33.47</v>
      </c>
      <c r="H29" s="43">
        <v>34.65</v>
      </c>
      <c r="I29" s="43">
        <v>35.880000000000003</v>
      </c>
      <c r="J29" s="43">
        <v>36.520000000000003</v>
      </c>
      <c r="K29" s="43">
        <v>37.25</v>
      </c>
      <c r="L29" s="5" t="s">
        <v>499</v>
      </c>
      <c r="M29" s="5"/>
      <c r="N29" s="5"/>
      <c r="O29" s="5"/>
      <c r="P29" s="5"/>
      <c r="Q29" s="5"/>
      <c r="R29" s="5"/>
      <c r="S29" s="5"/>
      <c r="T29" s="5"/>
      <c r="U29" s="5"/>
      <c r="V29" s="5"/>
      <c r="W29" s="5"/>
      <c r="X29" s="5"/>
      <c r="Y29" s="5"/>
      <c r="Z29" s="5"/>
    </row>
    <row r="30" spans="1:26">
      <c r="A30" s="5">
        <v>10</v>
      </c>
      <c r="B30" s="43">
        <v>29.02</v>
      </c>
      <c r="C30" s="43">
        <v>30.07</v>
      </c>
      <c r="D30" s="43">
        <v>31.23</v>
      </c>
      <c r="E30" s="43">
        <v>32.5</v>
      </c>
      <c r="F30" s="43">
        <v>33.549999999999997</v>
      </c>
      <c r="G30" s="43">
        <v>34.67</v>
      </c>
      <c r="H30" s="43">
        <v>35.909999999999997</v>
      </c>
      <c r="I30" s="43">
        <v>37.159999999999997</v>
      </c>
      <c r="J30" s="43">
        <v>37.82</v>
      </c>
      <c r="K30" s="43">
        <v>38.58</v>
      </c>
      <c r="L30" s="5" t="s">
        <v>499</v>
      </c>
      <c r="M30" s="5"/>
      <c r="N30" s="5"/>
      <c r="O30" s="5"/>
      <c r="P30" s="5"/>
      <c r="Q30" s="5"/>
      <c r="R30" s="5"/>
      <c r="S30" s="5"/>
      <c r="T30" s="5"/>
      <c r="U30" s="5"/>
      <c r="V30" s="5"/>
      <c r="W30" s="5"/>
      <c r="X30" s="5"/>
      <c r="Y30" s="5"/>
      <c r="Z30" s="5"/>
    </row>
    <row r="31" spans="1:26">
      <c r="A31" s="5">
        <v>11</v>
      </c>
      <c r="B31" s="43">
        <v>30.02</v>
      </c>
      <c r="C31" s="43">
        <v>31.13</v>
      </c>
      <c r="D31" s="43">
        <v>32.33</v>
      </c>
      <c r="E31" s="43">
        <v>33.64</v>
      </c>
      <c r="F31" s="43">
        <v>34.729999999999997</v>
      </c>
      <c r="G31" s="43">
        <v>35.92</v>
      </c>
      <c r="H31" s="43">
        <v>37.19</v>
      </c>
      <c r="I31" s="43">
        <v>38.53</v>
      </c>
      <c r="J31" s="43">
        <v>39.22</v>
      </c>
      <c r="K31" s="43">
        <v>40</v>
      </c>
      <c r="L31" s="5" t="s">
        <v>499</v>
      </c>
      <c r="M31" s="5"/>
      <c r="N31" s="5"/>
      <c r="O31" s="5"/>
      <c r="P31" s="5"/>
      <c r="Q31" s="5"/>
      <c r="R31" s="5"/>
      <c r="S31" s="5"/>
      <c r="T31" s="5"/>
      <c r="U31" s="5"/>
      <c r="V31" s="5"/>
      <c r="W31" s="5"/>
      <c r="X31" s="5"/>
      <c r="Y31" s="5"/>
      <c r="Z31" s="5"/>
    </row>
    <row r="32" spans="1:26">
      <c r="A32" s="5">
        <v>12</v>
      </c>
      <c r="B32" s="43">
        <v>31.09</v>
      </c>
      <c r="C32" s="43">
        <v>32.229999999999997</v>
      </c>
      <c r="D32" s="43">
        <v>33.5</v>
      </c>
      <c r="E32" s="43">
        <v>34.92</v>
      </c>
      <c r="F32" s="43">
        <v>36.049999999999997</v>
      </c>
      <c r="G32" s="43">
        <v>37.29</v>
      </c>
      <c r="H32" s="43">
        <v>38.630000000000003</v>
      </c>
      <c r="I32" s="43">
        <v>40.01</v>
      </c>
      <c r="J32" s="43">
        <v>40.72</v>
      </c>
      <c r="K32" s="43">
        <v>41.53</v>
      </c>
      <c r="L32" s="5" t="s">
        <v>499</v>
      </c>
      <c r="M32" s="5"/>
      <c r="N32" s="5"/>
      <c r="O32" s="5"/>
      <c r="P32" s="5"/>
      <c r="Q32" s="5"/>
      <c r="R32" s="5"/>
      <c r="S32" s="5"/>
      <c r="T32" s="5"/>
      <c r="U32" s="5"/>
      <c r="V32" s="5"/>
      <c r="W32" s="5"/>
      <c r="X32" s="5"/>
      <c r="Y32" s="5"/>
      <c r="Z32" s="5"/>
    </row>
    <row r="33" spans="1:26">
      <c r="A33" s="5">
        <v>13</v>
      </c>
      <c r="B33" s="43">
        <v>32.17</v>
      </c>
      <c r="C33" s="43">
        <v>33.450000000000003</v>
      </c>
      <c r="D33" s="43">
        <v>34.75</v>
      </c>
      <c r="E33" s="43">
        <v>36.229999999999997</v>
      </c>
      <c r="F33" s="43">
        <v>37.450000000000003</v>
      </c>
      <c r="G33" s="43">
        <v>38.74</v>
      </c>
      <c r="H33" s="43">
        <v>40.119999999999997</v>
      </c>
      <c r="I33" s="43">
        <v>41.58</v>
      </c>
      <c r="J33" s="43">
        <v>42.33</v>
      </c>
      <c r="K33" s="43">
        <v>43.18</v>
      </c>
      <c r="L33" s="5" t="s">
        <v>499</v>
      </c>
      <c r="M33" s="5"/>
      <c r="N33" s="5"/>
      <c r="O33" s="5"/>
      <c r="P33" s="5"/>
      <c r="Q33" s="5"/>
      <c r="R33" s="5"/>
      <c r="S33" s="5"/>
      <c r="T33" s="5"/>
      <c r="U33" s="5"/>
      <c r="V33" s="5"/>
      <c r="W33" s="5"/>
      <c r="X33" s="5"/>
      <c r="Y33" s="5"/>
      <c r="Z33" s="5"/>
    </row>
    <row r="34" spans="1:26">
      <c r="A34" s="5">
        <v>14</v>
      </c>
      <c r="B34" s="43">
        <v>33.42</v>
      </c>
      <c r="C34" s="43">
        <v>34.74</v>
      </c>
      <c r="D34" s="43">
        <v>36.159999999999997</v>
      </c>
      <c r="E34" s="43">
        <v>37.74</v>
      </c>
      <c r="F34" s="43">
        <v>38.979999999999997</v>
      </c>
      <c r="G34" s="43">
        <v>40.340000000000003</v>
      </c>
      <c r="H34" s="43">
        <v>41.77</v>
      </c>
      <c r="I34" s="43">
        <v>43.3</v>
      </c>
      <c r="J34" s="43">
        <v>44.08</v>
      </c>
      <c r="K34" s="43">
        <v>44.96</v>
      </c>
      <c r="L34" s="5" t="s">
        <v>499</v>
      </c>
      <c r="M34" s="5"/>
      <c r="N34" s="5"/>
      <c r="O34" s="5"/>
      <c r="P34" s="5"/>
      <c r="Q34" s="5"/>
      <c r="R34" s="5"/>
      <c r="S34" s="5"/>
      <c r="T34" s="5"/>
      <c r="U34" s="5"/>
      <c r="V34" s="5"/>
      <c r="W34" s="5"/>
      <c r="X34" s="5"/>
      <c r="Y34" s="5"/>
      <c r="Z34" s="5"/>
    </row>
    <row r="35" spans="1:26">
      <c r="A35" s="5">
        <v>15</v>
      </c>
      <c r="B35" s="43">
        <v>34.729999999999997</v>
      </c>
      <c r="C35" s="43">
        <v>36.130000000000003</v>
      </c>
      <c r="D35" s="43">
        <v>37.65</v>
      </c>
      <c r="E35" s="43">
        <v>39.26</v>
      </c>
      <c r="F35" s="43">
        <v>40.57</v>
      </c>
      <c r="G35" s="43">
        <v>42.01</v>
      </c>
      <c r="H35" s="43">
        <v>43.52</v>
      </c>
      <c r="I35" s="43">
        <v>45.09</v>
      </c>
      <c r="J35" s="43">
        <v>45.91</v>
      </c>
      <c r="K35" s="43">
        <v>46.83</v>
      </c>
      <c r="L35" s="5" t="s">
        <v>499</v>
      </c>
      <c r="M35" s="5"/>
      <c r="N35" s="5"/>
      <c r="O35" s="5"/>
      <c r="P35" s="5"/>
      <c r="Q35" s="5"/>
      <c r="R35" s="5"/>
      <c r="S35" s="5"/>
      <c r="T35" s="5"/>
      <c r="U35" s="5"/>
      <c r="V35" s="5"/>
      <c r="W35" s="5"/>
      <c r="X35" s="5"/>
      <c r="Y35" s="5"/>
      <c r="Z35" s="5"/>
    </row>
    <row r="36" spans="1:26">
      <c r="A36" s="5">
        <v>18</v>
      </c>
      <c r="B36" s="43">
        <v>36.18</v>
      </c>
      <c r="C36" s="43">
        <v>37.700000000000003</v>
      </c>
      <c r="D36" s="43">
        <v>39.25</v>
      </c>
      <c r="E36" s="43">
        <v>41.38</v>
      </c>
      <c r="F36" s="43">
        <v>43.19</v>
      </c>
      <c r="G36" s="43">
        <v>44.7</v>
      </c>
      <c r="H36" s="43">
        <v>46.33</v>
      </c>
      <c r="I36" s="43">
        <v>48.02</v>
      </c>
      <c r="J36" s="43">
        <v>48.9</v>
      </c>
      <c r="K36" s="43">
        <v>49.88</v>
      </c>
      <c r="L36" s="5" t="s">
        <v>499</v>
      </c>
      <c r="M36" s="5"/>
      <c r="N36" s="5"/>
      <c r="O36" s="5"/>
      <c r="P36" s="5"/>
      <c r="Q36" s="5"/>
      <c r="R36" s="5"/>
      <c r="S36" s="5"/>
      <c r="T36" s="5"/>
      <c r="U36" s="5"/>
      <c r="V36" s="5"/>
      <c r="W36" s="5"/>
      <c r="X36" s="5"/>
      <c r="Y36" s="5"/>
      <c r="Z36" s="5"/>
    </row>
    <row r="37" spans="1:26">
      <c r="A37" s="5">
        <v>19</v>
      </c>
      <c r="B37" s="43">
        <v>40.15</v>
      </c>
      <c r="C37" s="43">
        <v>41.71</v>
      </c>
      <c r="D37" s="43">
        <v>43.37</v>
      </c>
      <c r="E37" s="43">
        <v>45.22</v>
      </c>
      <c r="F37" s="43">
        <v>46.65</v>
      </c>
      <c r="G37" s="43">
        <v>48.21</v>
      </c>
      <c r="H37" s="43">
        <v>49.87</v>
      </c>
      <c r="I37" s="43">
        <v>51.62</v>
      </c>
      <c r="J37" s="43">
        <v>52.56</v>
      </c>
      <c r="K37" s="43">
        <v>53.61</v>
      </c>
      <c r="L37" s="5" t="s">
        <v>499</v>
      </c>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21" customHeight="1">
      <c r="A40" s="140" t="s">
        <v>500</v>
      </c>
      <c r="B40" s="140"/>
      <c r="C40" s="140"/>
      <c r="D40" s="140"/>
      <c r="E40" s="140"/>
      <c r="F40" s="140"/>
      <c r="G40" s="140"/>
      <c r="H40" s="140"/>
      <c r="I40" s="140"/>
      <c r="J40" s="140"/>
      <c r="K40" s="140"/>
      <c r="L40" s="140"/>
      <c r="M40" s="5"/>
      <c r="N40" s="5"/>
      <c r="O40" s="5"/>
      <c r="P40" s="5"/>
      <c r="Q40" s="5"/>
      <c r="R40" s="5"/>
      <c r="S40" s="5"/>
      <c r="T40" s="5"/>
      <c r="U40" s="5"/>
      <c r="V40" s="5"/>
      <c r="W40" s="5"/>
      <c r="X40" s="5"/>
      <c r="Y40" s="5"/>
      <c r="Z40" s="5"/>
    </row>
    <row r="41" spans="1:26" ht="15">
      <c r="A41" s="2" t="s">
        <v>496</v>
      </c>
      <c r="B41" s="2" t="s">
        <v>497</v>
      </c>
      <c r="C41" s="2" t="s">
        <v>444</v>
      </c>
      <c r="D41" s="2" t="s">
        <v>445</v>
      </c>
      <c r="E41" s="2" t="s">
        <v>438</v>
      </c>
      <c r="F41" s="2" t="s">
        <v>446</v>
      </c>
      <c r="G41" s="2" t="s">
        <v>447</v>
      </c>
      <c r="H41" s="2" t="s">
        <v>448</v>
      </c>
      <c r="I41" s="2" t="s">
        <v>449</v>
      </c>
      <c r="J41" s="2" t="s">
        <v>450</v>
      </c>
      <c r="K41" s="2" t="s">
        <v>498</v>
      </c>
      <c r="L41" s="2" t="s">
        <v>150</v>
      </c>
      <c r="M41" s="5"/>
      <c r="N41" s="5"/>
      <c r="O41" s="5"/>
      <c r="P41" s="5"/>
      <c r="Q41" s="5"/>
      <c r="R41" s="5"/>
      <c r="S41" s="5"/>
      <c r="T41" s="5"/>
      <c r="U41" s="5"/>
      <c r="V41" s="5"/>
      <c r="W41" s="5"/>
      <c r="X41" s="5"/>
      <c r="Y41" s="5"/>
      <c r="Z41" s="5"/>
    </row>
    <row r="42" spans="1:26">
      <c r="A42" s="5">
        <v>1</v>
      </c>
      <c r="B42" s="43">
        <v>38.72</v>
      </c>
      <c r="C42" s="43">
        <v>40.04</v>
      </c>
      <c r="D42" s="43">
        <v>41.46</v>
      </c>
      <c r="E42" s="43">
        <v>42.92</v>
      </c>
      <c r="F42" s="43">
        <v>44.05</v>
      </c>
      <c r="G42" s="43">
        <v>45.38</v>
      </c>
      <c r="H42" s="43">
        <v>46.83</v>
      </c>
      <c r="I42" s="43">
        <v>48.35</v>
      </c>
      <c r="J42" s="43">
        <v>49.12</v>
      </c>
      <c r="K42" s="43">
        <v>50.1</v>
      </c>
      <c r="L42" s="5" t="s">
        <v>225</v>
      </c>
      <c r="M42" s="5"/>
      <c r="N42" s="5"/>
      <c r="O42" s="5"/>
      <c r="P42" s="5"/>
      <c r="Q42" s="5"/>
      <c r="R42" s="5"/>
      <c r="S42" s="5"/>
      <c r="T42" s="5"/>
      <c r="U42" s="5"/>
      <c r="V42" s="5"/>
      <c r="W42" s="5"/>
      <c r="X42" s="5"/>
      <c r="Y42" s="5"/>
      <c r="Z42" s="5"/>
    </row>
    <row r="43" spans="1:26">
      <c r="A43" s="5">
        <v>2</v>
      </c>
      <c r="B43" s="43">
        <v>45.45</v>
      </c>
      <c r="C43" s="43">
        <v>47.01</v>
      </c>
      <c r="D43" s="43">
        <v>48.67</v>
      </c>
      <c r="E43" s="43">
        <v>50.52</v>
      </c>
      <c r="F43" s="43">
        <v>51.95</v>
      </c>
      <c r="G43" s="43">
        <v>53.51</v>
      </c>
      <c r="H43" s="43">
        <v>55.17</v>
      </c>
      <c r="I43" s="43">
        <v>56.92</v>
      </c>
      <c r="J43" s="43">
        <v>57.86</v>
      </c>
      <c r="K43" s="43">
        <v>59.02</v>
      </c>
      <c r="L43" s="5" t="s">
        <v>225</v>
      </c>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mergeCells count="5">
    <mergeCell ref="A1:L1"/>
    <mergeCell ref="A2:L2"/>
    <mergeCell ref="A4:L4"/>
    <mergeCell ref="A20:L20"/>
    <mergeCell ref="A40:L4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200"/>
  <sheetViews>
    <sheetView workbookViewId="0">
      <selection sqref="A1:Q1"/>
    </sheetView>
  </sheetViews>
  <sheetFormatPr defaultRowHeight="14.25"/>
  <cols>
    <col min="1" max="1" width="29" customWidth="1"/>
    <col min="2" max="2" width="9" customWidth="1"/>
    <col min="3" max="16" width="12" customWidth="1"/>
    <col min="17" max="17" width="14" customWidth="1"/>
  </cols>
  <sheetData>
    <row r="1" spans="1:26" ht="27.95" customHeight="1">
      <c r="A1" s="138" t="s">
        <v>501</v>
      </c>
      <c r="B1" s="138"/>
      <c r="C1" s="138"/>
      <c r="D1" s="138"/>
      <c r="E1" s="138"/>
      <c r="F1" s="138"/>
      <c r="G1" s="138"/>
      <c r="H1" s="138"/>
      <c r="I1" s="138"/>
      <c r="J1" s="138"/>
      <c r="K1" s="138"/>
      <c r="L1" s="138"/>
      <c r="M1" s="138"/>
      <c r="N1" s="138"/>
      <c r="O1" s="138"/>
      <c r="P1" s="138"/>
      <c r="Q1" s="138"/>
      <c r="R1" s="5"/>
      <c r="S1" s="5"/>
      <c r="T1" s="5"/>
      <c r="U1" s="5"/>
      <c r="V1" s="5"/>
      <c r="W1" s="5"/>
      <c r="X1" s="5"/>
      <c r="Y1" s="5"/>
      <c r="Z1" s="5"/>
    </row>
    <row r="2" spans="1:26" ht="32.1" customHeight="1">
      <c r="A2" s="139" t="s">
        <v>502</v>
      </c>
      <c r="B2" s="139"/>
      <c r="C2" s="139"/>
      <c r="D2" s="139"/>
      <c r="E2" s="139"/>
      <c r="F2" s="139"/>
      <c r="G2" s="139"/>
      <c r="H2" s="139"/>
      <c r="I2" s="139"/>
      <c r="J2" s="139"/>
      <c r="K2" s="139"/>
      <c r="L2" s="139"/>
      <c r="M2" s="139"/>
      <c r="N2" s="139"/>
      <c r="O2" s="139"/>
      <c r="P2" s="139"/>
      <c r="Q2" s="139"/>
      <c r="R2" s="5"/>
      <c r="S2" s="5"/>
      <c r="T2" s="5"/>
      <c r="U2" s="5"/>
      <c r="V2" s="5"/>
      <c r="W2" s="5"/>
      <c r="X2" s="5"/>
      <c r="Y2" s="5"/>
      <c r="Z2" s="5"/>
    </row>
    <row r="3" spans="1:26">
      <c r="A3" s="5"/>
      <c r="B3" s="5"/>
      <c r="C3" s="5"/>
      <c r="D3" s="5"/>
      <c r="E3" s="5"/>
      <c r="F3" s="5"/>
      <c r="G3" s="5"/>
      <c r="H3" s="5"/>
      <c r="I3" s="5"/>
      <c r="J3" s="5"/>
      <c r="K3" s="5"/>
      <c r="L3" s="5"/>
      <c r="M3" s="5"/>
      <c r="N3" s="5"/>
      <c r="O3" s="5"/>
      <c r="P3" s="5"/>
      <c r="Q3" s="5"/>
      <c r="R3" s="5"/>
      <c r="S3" s="5"/>
      <c r="T3" s="5"/>
      <c r="U3" s="5"/>
      <c r="V3" s="5"/>
      <c r="W3" s="5"/>
      <c r="X3" s="5"/>
      <c r="Y3" s="5"/>
      <c r="Z3" s="5"/>
    </row>
    <row r="4" spans="1:26" ht="15">
      <c r="A4" s="2" t="s">
        <v>503</v>
      </c>
      <c r="B4" s="2" t="s">
        <v>504</v>
      </c>
      <c r="C4" s="2" t="s">
        <v>31</v>
      </c>
      <c r="D4" s="2" t="s">
        <v>34</v>
      </c>
      <c r="E4" s="2" t="s">
        <v>36</v>
      </c>
      <c r="F4" s="2" t="s">
        <v>38</v>
      </c>
      <c r="G4" s="2" t="s">
        <v>41</v>
      </c>
      <c r="H4" s="2" t="s">
        <v>44</v>
      </c>
      <c r="I4" s="2" t="s">
        <v>505</v>
      </c>
      <c r="J4" s="2" t="s">
        <v>506</v>
      </c>
      <c r="K4" s="2" t="s">
        <v>507</v>
      </c>
      <c r="L4" s="2" t="s">
        <v>508</v>
      </c>
      <c r="M4" s="2" t="s">
        <v>509</v>
      </c>
      <c r="N4" s="2" t="s">
        <v>510</v>
      </c>
      <c r="O4" s="2" t="s">
        <v>511</v>
      </c>
      <c r="P4" s="2" t="s">
        <v>512</v>
      </c>
      <c r="Q4" s="2" t="s">
        <v>150</v>
      </c>
      <c r="R4" s="5"/>
      <c r="S4" s="5"/>
      <c r="T4" s="5"/>
      <c r="U4" s="5"/>
      <c r="V4" s="5"/>
      <c r="W4" s="5"/>
      <c r="X4" s="5"/>
      <c r="Y4" s="5"/>
      <c r="Z4" s="5"/>
    </row>
    <row r="5" spans="1:26">
      <c r="A5" s="5" t="s">
        <v>513</v>
      </c>
      <c r="B5" s="5">
        <v>206</v>
      </c>
      <c r="C5" s="39">
        <v>108599</v>
      </c>
      <c r="D5" s="39">
        <v>110772</v>
      </c>
      <c r="E5" s="39">
        <v>112989</v>
      </c>
      <c r="F5" s="39">
        <v>115247</v>
      </c>
      <c r="G5" s="39">
        <v>117552</v>
      </c>
      <c r="H5" s="39">
        <v>119903</v>
      </c>
      <c r="I5" s="39">
        <v>122300</v>
      </c>
      <c r="J5" s="39">
        <v>124746</v>
      </c>
      <c r="K5" s="39">
        <v>127241</v>
      </c>
      <c r="L5" s="39">
        <v>129785</v>
      </c>
      <c r="M5" s="39">
        <v>132382</v>
      </c>
      <c r="N5" s="39">
        <v>135030</v>
      </c>
      <c r="O5" s="39">
        <v>137730</v>
      </c>
      <c r="P5" s="39">
        <v>140485</v>
      </c>
      <c r="Q5" s="5" t="s">
        <v>158</v>
      </c>
      <c r="R5" s="5"/>
      <c r="S5" s="5"/>
      <c r="T5" s="5"/>
      <c r="U5" s="5"/>
      <c r="V5" s="5"/>
      <c r="W5" s="5"/>
      <c r="X5" s="5"/>
      <c r="Y5" s="5"/>
      <c r="Z5" s="5"/>
    </row>
    <row r="6" spans="1:26">
      <c r="A6" s="5" t="s">
        <v>514</v>
      </c>
      <c r="B6" s="5">
        <v>204</v>
      </c>
      <c r="C6" s="39">
        <v>109474</v>
      </c>
      <c r="D6" s="39">
        <v>111664</v>
      </c>
      <c r="E6" s="39">
        <v>113896</v>
      </c>
      <c r="F6" s="39">
        <v>116174</v>
      </c>
      <c r="G6" s="39">
        <v>118500</v>
      </c>
      <c r="H6" s="39">
        <v>120869</v>
      </c>
      <c r="I6" s="39">
        <v>123286</v>
      </c>
      <c r="J6" s="39">
        <v>125752</v>
      </c>
      <c r="K6" s="39">
        <v>128266</v>
      </c>
      <c r="L6" s="39">
        <v>130831</v>
      </c>
      <c r="M6" s="39">
        <v>133448</v>
      </c>
      <c r="N6" s="39">
        <v>136117</v>
      </c>
      <c r="O6" s="39">
        <v>138840</v>
      </c>
      <c r="P6" s="39">
        <v>141616</v>
      </c>
      <c r="Q6" s="5" t="s">
        <v>158</v>
      </c>
      <c r="R6" s="5"/>
      <c r="S6" s="5"/>
      <c r="T6" s="5"/>
      <c r="U6" s="5"/>
      <c r="V6" s="5"/>
      <c r="W6" s="5"/>
      <c r="X6" s="5"/>
      <c r="Y6" s="5"/>
      <c r="Z6" s="5"/>
    </row>
    <row r="7" spans="1:26">
      <c r="A7" s="5" t="s">
        <v>515</v>
      </c>
      <c r="B7" s="5">
        <v>208</v>
      </c>
      <c r="C7" s="39">
        <v>112385</v>
      </c>
      <c r="D7" s="39">
        <v>114631</v>
      </c>
      <c r="E7" s="39">
        <v>116925</v>
      </c>
      <c r="F7" s="39">
        <v>119263</v>
      </c>
      <c r="G7" s="39">
        <v>121649</v>
      </c>
      <c r="H7" s="39">
        <v>124082</v>
      </c>
      <c r="I7" s="39">
        <v>126563</v>
      </c>
      <c r="J7" s="39">
        <v>129094</v>
      </c>
      <c r="K7" s="39">
        <v>131677</v>
      </c>
      <c r="L7" s="39">
        <v>134310</v>
      </c>
      <c r="M7" s="39">
        <v>136996</v>
      </c>
      <c r="N7" s="39">
        <v>139736</v>
      </c>
      <c r="O7" s="39">
        <v>142531</v>
      </c>
      <c r="P7" s="39">
        <v>145382</v>
      </c>
      <c r="Q7" s="5" t="s">
        <v>158</v>
      </c>
      <c r="R7" s="5"/>
      <c r="S7" s="5"/>
      <c r="T7" s="5"/>
      <c r="U7" s="5"/>
      <c r="V7" s="5"/>
      <c r="W7" s="5"/>
      <c r="X7" s="5"/>
      <c r="Y7" s="5"/>
      <c r="Z7" s="5"/>
    </row>
    <row r="8" spans="1:26">
      <c r="A8" s="5" t="s">
        <v>516</v>
      </c>
      <c r="B8" s="5">
        <v>209</v>
      </c>
      <c r="C8" s="39">
        <v>113671</v>
      </c>
      <c r="D8" s="39">
        <v>115945</v>
      </c>
      <c r="E8" s="39">
        <v>118264</v>
      </c>
      <c r="F8" s="39">
        <v>120630</v>
      </c>
      <c r="G8" s="39">
        <v>123043</v>
      </c>
      <c r="H8" s="39">
        <v>125505</v>
      </c>
      <c r="I8" s="39">
        <v>128014</v>
      </c>
      <c r="J8" s="39">
        <v>130573</v>
      </c>
      <c r="K8" s="39">
        <v>133186</v>
      </c>
      <c r="L8" s="39">
        <v>135850</v>
      </c>
      <c r="M8" s="39">
        <v>138565</v>
      </c>
      <c r="N8" s="39">
        <v>141336</v>
      </c>
      <c r="O8" s="39">
        <v>144162</v>
      </c>
      <c r="P8" s="39">
        <v>147046</v>
      </c>
      <c r="Q8" s="5" t="s">
        <v>158</v>
      </c>
      <c r="R8" s="5"/>
      <c r="S8" s="5"/>
      <c r="T8" s="5"/>
      <c r="U8" s="5"/>
      <c r="V8" s="5"/>
      <c r="W8" s="5"/>
      <c r="X8" s="5"/>
      <c r="Y8" s="5"/>
      <c r="Z8" s="5"/>
    </row>
    <row r="9" spans="1:26">
      <c r="A9" s="5" t="s">
        <v>517</v>
      </c>
      <c r="B9" s="5">
        <v>209</v>
      </c>
      <c r="C9" s="39">
        <v>118412</v>
      </c>
      <c r="D9" s="39">
        <v>120779</v>
      </c>
      <c r="E9" s="39">
        <v>123194</v>
      </c>
      <c r="F9" s="39">
        <v>125659</v>
      </c>
      <c r="G9" s="39">
        <v>128172</v>
      </c>
      <c r="H9" s="39">
        <v>130733</v>
      </c>
      <c r="I9" s="39">
        <v>133349</v>
      </c>
      <c r="J9" s="39">
        <v>136017</v>
      </c>
      <c r="K9" s="39">
        <v>138737</v>
      </c>
      <c r="L9" s="39">
        <v>141511</v>
      </c>
      <c r="M9" s="39">
        <v>144342</v>
      </c>
      <c r="N9" s="39">
        <v>147228</v>
      </c>
      <c r="O9" s="39">
        <v>150172</v>
      </c>
      <c r="P9" s="39">
        <v>153176</v>
      </c>
      <c r="Q9" s="5" t="s">
        <v>158</v>
      </c>
      <c r="R9" s="5"/>
      <c r="S9" s="5"/>
      <c r="T9" s="5"/>
      <c r="U9" s="5"/>
      <c r="V9" s="5"/>
      <c r="W9" s="5"/>
      <c r="X9" s="5"/>
      <c r="Y9" s="5"/>
      <c r="Z9" s="5"/>
    </row>
    <row r="10" spans="1:26">
      <c r="A10" s="5"/>
      <c r="B10" s="5"/>
      <c r="C10" s="5"/>
      <c r="D10" s="5"/>
      <c r="E10" s="5"/>
      <c r="F10" s="5"/>
      <c r="G10" s="5"/>
      <c r="H10" s="5"/>
      <c r="I10" s="5"/>
      <c r="J10" s="5"/>
      <c r="K10" s="5"/>
      <c r="L10" s="5"/>
      <c r="M10" s="5"/>
      <c r="N10" s="5"/>
      <c r="O10" s="5"/>
      <c r="P10" s="5"/>
      <c r="Q10" s="5"/>
      <c r="R10" s="5"/>
      <c r="S10" s="5"/>
      <c r="T10" s="5"/>
      <c r="U10" s="5"/>
      <c r="V10" s="5"/>
      <c r="W10" s="5"/>
      <c r="X10" s="5"/>
      <c r="Y10" s="5"/>
      <c r="Z10" s="5"/>
    </row>
    <row r="11" spans="1:26">
      <c r="A11" s="5"/>
      <c r="B11" s="5"/>
      <c r="C11" s="5"/>
      <c r="D11" s="5"/>
      <c r="E11" s="5"/>
      <c r="F11" s="5"/>
      <c r="G11" s="5"/>
      <c r="H11" s="5"/>
      <c r="I11" s="5"/>
      <c r="J11" s="5"/>
      <c r="K11" s="5"/>
      <c r="L11" s="5"/>
      <c r="M11" s="5"/>
      <c r="N11" s="5"/>
      <c r="O11" s="5"/>
      <c r="P11" s="5"/>
      <c r="Q11" s="5"/>
      <c r="R11" s="5"/>
      <c r="S11" s="5"/>
      <c r="T11" s="5"/>
      <c r="U11" s="5"/>
      <c r="V11" s="5"/>
      <c r="W11" s="5"/>
      <c r="X11" s="5"/>
      <c r="Y11" s="5"/>
      <c r="Z11" s="5"/>
    </row>
    <row r="12" spans="1:26">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mergeCells count="2">
    <mergeCell ref="A1:Q1"/>
    <mergeCell ref="A2:Q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200"/>
  <sheetViews>
    <sheetView topLeftCell="A33" workbookViewId="0">
      <selection activeCell="D49" sqref="D49"/>
    </sheetView>
  </sheetViews>
  <sheetFormatPr defaultRowHeight="14.25"/>
  <cols>
    <col min="1" max="1" width="10" customWidth="1"/>
    <col min="2" max="2" width="34" customWidth="1"/>
    <col min="3" max="3" width="28" customWidth="1"/>
    <col min="4" max="4" width="58" customWidth="1"/>
    <col min="5" max="5" width="32" customWidth="1"/>
    <col min="6" max="6" width="22" customWidth="1"/>
    <col min="7" max="7" width="48" customWidth="1"/>
  </cols>
  <sheetData>
    <row r="1" spans="1:26" ht="27.95" customHeight="1">
      <c r="A1" s="138" t="s">
        <v>518</v>
      </c>
      <c r="B1" s="138"/>
      <c r="C1" s="138"/>
      <c r="D1" s="138"/>
      <c r="E1" s="138"/>
      <c r="F1" s="138"/>
      <c r="G1" s="138"/>
      <c r="H1" s="5"/>
      <c r="I1" s="5"/>
      <c r="J1" s="5"/>
      <c r="K1" s="5"/>
      <c r="L1" s="5"/>
      <c r="M1" s="5"/>
      <c r="N1" s="5"/>
      <c r="O1" s="5"/>
      <c r="P1" s="5"/>
      <c r="Q1" s="5"/>
      <c r="R1" s="5"/>
      <c r="S1" s="5"/>
      <c r="T1" s="5"/>
      <c r="U1" s="5"/>
      <c r="V1" s="5"/>
      <c r="W1" s="5"/>
      <c r="X1" s="5"/>
      <c r="Y1" s="5"/>
      <c r="Z1" s="5"/>
    </row>
    <row r="2" spans="1:26" ht="32.1" customHeight="1">
      <c r="A2" s="139" t="s">
        <v>519</v>
      </c>
      <c r="B2" s="139"/>
      <c r="C2" s="139"/>
      <c r="D2" s="139"/>
      <c r="E2" s="139"/>
      <c r="F2" s="139"/>
      <c r="G2" s="139"/>
      <c r="H2" s="5"/>
      <c r="I2" s="5"/>
      <c r="J2" s="5"/>
      <c r="K2" s="5"/>
      <c r="L2" s="5"/>
      <c r="M2" s="5"/>
      <c r="N2" s="5"/>
      <c r="O2" s="5"/>
      <c r="P2" s="5"/>
      <c r="Q2" s="5"/>
      <c r="R2" s="5"/>
      <c r="S2" s="5"/>
      <c r="T2" s="5"/>
      <c r="U2" s="5"/>
      <c r="V2" s="5"/>
      <c r="W2" s="5"/>
      <c r="X2" s="5"/>
      <c r="Y2" s="5"/>
      <c r="Z2" s="5"/>
    </row>
    <row r="3" spans="1:26">
      <c r="A3" s="5"/>
      <c r="B3" s="5"/>
      <c r="C3" s="5"/>
      <c r="D3" s="5"/>
      <c r="E3" s="5"/>
      <c r="F3" s="5"/>
      <c r="G3" s="5"/>
      <c r="H3" s="5"/>
      <c r="I3" s="5"/>
      <c r="J3" s="5"/>
      <c r="K3" s="5"/>
      <c r="L3" s="5"/>
      <c r="M3" s="5"/>
      <c r="N3" s="5"/>
      <c r="O3" s="5"/>
      <c r="P3" s="5"/>
      <c r="Q3" s="5"/>
      <c r="R3" s="5"/>
      <c r="S3" s="5"/>
      <c r="T3" s="5"/>
      <c r="U3" s="5"/>
      <c r="V3" s="5"/>
      <c r="W3" s="5"/>
      <c r="X3" s="5"/>
      <c r="Y3" s="5"/>
      <c r="Z3" s="5"/>
    </row>
    <row r="4" spans="1:26" ht="15">
      <c r="A4" s="2" t="s">
        <v>63</v>
      </c>
      <c r="B4" s="2" t="s">
        <v>520</v>
      </c>
      <c r="C4" s="2" t="s">
        <v>521</v>
      </c>
      <c r="D4" s="2" t="s">
        <v>522</v>
      </c>
      <c r="E4" s="2" t="s">
        <v>523</v>
      </c>
      <c r="F4" s="2" t="s">
        <v>524</v>
      </c>
      <c r="G4" s="2" t="s">
        <v>66</v>
      </c>
      <c r="H4" s="5"/>
      <c r="I4" s="5"/>
      <c r="J4" s="5"/>
      <c r="K4" s="5"/>
      <c r="L4" s="5"/>
      <c r="M4" s="5"/>
      <c r="N4" s="5"/>
      <c r="O4" s="5"/>
      <c r="P4" s="5"/>
      <c r="Q4" s="5"/>
      <c r="R4" s="5"/>
      <c r="S4" s="5"/>
      <c r="T4" s="5"/>
      <c r="U4" s="5"/>
      <c r="V4" s="5"/>
      <c r="W4" s="5"/>
      <c r="X4" s="5"/>
      <c r="Y4" s="5"/>
      <c r="Z4" s="5"/>
    </row>
    <row r="5" spans="1:26" ht="42.75">
      <c r="A5" s="3" t="s">
        <v>103</v>
      </c>
      <c r="B5" s="3" t="s">
        <v>525</v>
      </c>
      <c r="C5" s="3" t="s">
        <v>526</v>
      </c>
      <c r="D5" s="106" t="s">
        <v>527</v>
      </c>
      <c r="E5" s="3" t="s">
        <v>528</v>
      </c>
      <c r="F5" s="3" t="s">
        <v>529</v>
      </c>
      <c r="G5" s="3" t="s">
        <v>530</v>
      </c>
      <c r="H5" s="5"/>
      <c r="I5" s="5"/>
      <c r="J5" s="5"/>
      <c r="K5" s="5"/>
      <c r="L5" s="5"/>
      <c r="M5" s="5"/>
      <c r="N5" s="5"/>
      <c r="O5" s="5"/>
      <c r="P5" s="5"/>
      <c r="Q5" s="5"/>
      <c r="R5" s="5"/>
      <c r="S5" s="5"/>
      <c r="T5" s="5"/>
      <c r="U5" s="5"/>
      <c r="V5" s="5"/>
      <c r="W5" s="5"/>
      <c r="X5" s="5"/>
      <c r="Y5" s="5"/>
      <c r="Z5" s="5"/>
    </row>
    <row r="6" spans="1:26" ht="28.5">
      <c r="A6" s="3" t="s">
        <v>531</v>
      </c>
      <c r="B6" s="3" t="s">
        <v>525</v>
      </c>
      <c r="C6" s="3" t="s">
        <v>532</v>
      </c>
      <c r="D6" s="4" t="s">
        <v>527</v>
      </c>
      <c r="E6" s="3" t="s">
        <v>533</v>
      </c>
      <c r="F6" s="3" t="s">
        <v>529</v>
      </c>
      <c r="G6" s="3" t="s">
        <v>534</v>
      </c>
      <c r="H6" s="5"/>
      <c r="I6" s="5"/>
      <c r="J6" s="5"/>
      <c r="K6" s="5"/>
      <c r="L6" s="5"/>
      <c r="M6" s="5"/>
      <c r="N6" s="5"/>
      <c r="O6" s="5"/>
      <c r="P6" s="5"/>
      <c r="Q6" s="5"/>
      <c r="R6" s="5"/>
      <c r="S6" s="5"/>
      <c r="T6" s="5"/>
      <c r="U6" s="5"/>
      <c r="V6" s="5"/>
      <c r="W6" s="5"/>
      <c r="X6" s="5"/>
      <c r="Y6" s="5"/>
      <c r="Z6" s="5"/>
    </row>
    <row r="7" spans="1:26" ht="42.75">
      <c r="A7" s="3" t="s">
        <v>297</v>
      </c>
      <c r="B7" s="3" t="s">
        <v>525</v>
      </c>
      <c r="C7" s="3" t="s">
        <v>535</v>
      </c>
      <c r="D7" s="4" t="s">
        <v>527</v>
      </c>
      <c r="E7" s="3" t="s">
        <v>536</v>
      </c>
      <c r="F7" s="3" t="s">
        <v>529</v>
      </c>
      <c r="G7" s="3" t="s">
        <v>537</v>
      </c>
      <c r="H7" s="5"/>
      <c r="I7" s="5"/>
      <c r="J7" s="5"/>
      <c r="K7" s="5"/>
      <c r="L7" s="5"/>
      <c r="M7" s="5"/>
      <c r="N7" s="5"/>
      <c r="O7" s="5"/>
      <c r="P7" s="5"/>
      <c r="Q7" s="5"/>
      <c r="R7" s="5"/>
      <c r="S7" s="5"/>
      <c r="T7" s="5"/>
      <c r="U7" s="5"/>
      <c r="V7" s="5"/>
      <c r="W7" s="5"/>
      <c r="X7" s="5"/>
      <c r="Y7" s="5"/>
      <c r="Z7" s="5"/>
    </row>
    <row r="8" spans="1:26" ht="42.75">
      <c r="A8" s="3" t="s">
        <v>69</v>
      </c>
      <c r="B8" s="3" t="s">
        <v>538</v>
      </c>
      <c r="C8" s="3" t="s">
        <v>539</v>
      </c>
      <c r="D8" s="4" t="s">
        <v>540</v>
      </c>
      <c r="E8" s="3" t="s">
        <v>541</v>
      </c>
      <c r="F8" s="3" t="s">
        <v>542</v>
      </c>
      <c r="G8" s="3" t="s">
        <v>543</v>
      </c>
      <c r="H8" s="5"/>
      <c r="I8" s="5"/>
      <c r="J8" s="5"/>
      <c r="K8" s="5"/>
      <c r="L8" s="5"/>
      <c r="M8" s="5"/>
      <c r="N8" s="5"/>
      <c r="O8" s="5"/>
      <c r="P8" s="5"/>
      <c r="Q8" s="5"/>
      <c r="R8" s="5"/>
      <c r="S8" s="5"/>
      <c r="T8" s="5"/>
      <c r="U8" s="5"/>
      <c r="V8" s="5"/>
      <c r="W8" s="5"/>
      <c r="X8" s="5"/>
      <c r="Y8" s="5"/>
      <c r="Z8" s="5"/>
    </row>
    <row r="9" spans="1:26" ht="42.75">
      <c r="A9" s="3" t="s">
        <v>76</v>
      </c>
      <c r="B9" s="3" t="s">
        <v>544</v>
      </c>
      <c r="C9" s="3" t="s">
        <v>545</v>
      </c>
      <c r="D9" s="4" t="s">
        <v>546</v>
      </c>
      <c r="E9" s="3" t="s">
        <v>547</v>
      </c>
      <c r="F9" s="3" t="s">
        <v>542</v>
      </c>
      <c r="G9" s="3" t="s">
        <v>548</v>
      </c>
      <c r="H9" s="5"/>
      <c r="I9" s="5"/>
      <c r="J9" s="5"/>
      <c r="K9" s="5"/>
      <c r="L9" s="5"/>
      <c r="M9" s="5"/>
      <c r="N9" s="5"/>
      <c r="O9" s="5"/>
      <c r="P9" s="5"/>
      <c r="Q9" s="5"/>
      <c r="R9" s="5"/>
      <c r="S9" s="5"/>
      <c r="T9" s="5"/>
      <c r="U9" s="5"/>
      <c r="V9" s="5"/>
      <c r="W9" s="5"/>
      <c r="X9" s="5"/>
      <c r="Y9" s="5"/>
      <c r="Z9" s="5"/>
    </row>
    <row r="10" spans="1:26" ht="42.75">
      <c r="A10" s="3" t="s">
        <v>40</v>
      </c>
      <c r="B10" s="3" t="s">
        <v>549</v>
      </c>
      <c r="C10" s="3" t="s">
        <v>550</v>
      </c>
      <c r="D10" s="4" t="s">
        <v>551</v>
      </c>
      <c r="E10" s="3" t="s">
        <v>552</v>
      </c>
      <c r="F10" s="3" t="s">
        <v>553</v>
      </c>
      <c r="G10" s="3" t="s">
        <v>554</v>
      </c>
      <c r="H10" s="5"/>
      <c r="I10" s="5"/>
      <c r="J10" s="5"/>
      <c r="K10" s="5"/>
      <c r="L10" s="5"/>
      <c r="M10" s="5"/>
      <c r="N10" s="5"/>
      <c r="O10" s="5"/>
      <c r="P10" s="5"/>
      <c r="Q10" s="5"/>
      <c r="R10" s="5"/>
      <c r="S10" s="5"/>
      <c r="T10" s="5"/>
      <c r="U10" s="5"/>
      <c r="V10" s="5"/>
      <c r="W10" s="5"/>
      <c r="X10" s="5"/>
      <c r="Y10" s="5"/>
      <c r="Z10" s="5"/>
    </row>
    <row r="11" spans="1:26" ht="42.75">
      <c r="A11" s="3" t="s">
        <v>555</v>
      </c>
      <c r="B11" s="3" t="s">
        <v>556</v>
      </c>
      <c r="C11" s="3" t="s">
        <v>557</v>
      </c>
      <c r="D11" s="4" t="s">
        <v>558</v>
      </c>
      <c r="E11" s="3" t="s">
        <v>559</v>
      </c>
      <c r="F11" s="3" t="s">
        <v>560</v>
      </c>
      <c r="G11" s="3" t="s">
        <v>561</v>
      </c>
      <c r="H11" s="5"/>
      <c r="I11" s="5"/>
      <c r="J11" s="5"/>
      <c r="K11" s="5"/>
      <c r="L11" s="5"/>
      <c r="M11" s="5"/>
      <c r="N11" s="5"/>
      <c r="O11" s="5"/>
      <c r="P11" s="5"/>
      <c r="Q11" s="5"/>
      <c r="R11" s="5"/>
      <c r="S11" s="5"/>
      <c r="T11" s="5"/>
      <c r="U11" s="5"/>
      <c r="V11" s="5"/>
      <c r="W11" s="5"/>
      <c r="X11" s="5"/>
      <c r="Y11" s="5"/>
      <c r="Z11" s="5"/>
    </row>
    <row r="12" spans="1:26" ht="42.75">
      <c r="A12" s="3" t="s">
        <v>562</v>
      </c>
      <c r="B12" s="3" t="s">
        <v>563</v>
      </c>
      <c r="C12" s="3" t="s">
        <v>564</v>
      </c>
      <c r="D12" s="4" t="s">
        <v>565</v>
      </c>
      <c r="E12" s="3" t="s">
        <v>566</v>
      </c>
      <c r="F12" s="3" t="s">
        <v>567</v>
      </c>
      <c r="G12" s="3" t="s">
        <v>568</v>
      </c>
      <c r="H12" s="5"/>
      <c r="I12" s="5"/>
      <c r="J12" s="5"/>
      <c r="K12" s="5"/>
      <c r="L12" s="5"/>
      <c r="M12" s="5"/>
      <c r="N12" s="5"/>
      <c r="O12" s="5"/>
      <c r="P12" s="5"/>
      <c r="Q12" s="5"/>
      <c r="R12" s="5"/>
      <c r="S12" s="5"/>
      <c r="T12" s="5"/>
      <c r="U12" s="5"/>
      <c r="V12" s="5"/>
      <c r="W12" s="5"/>
      <c r="X12" s="5"/>
      <c r="Y12" s="5"/>
      <c r="Z12" s="5"/>
    </row>
    <row r="13" spans="1:26" ht="42.75">
      <c r="A13" s="3" t="s">
        <v>569</v>
      </c>
      <c r="B13" s="3" t="s">
        <v>570</v>
      </c>
      <c r="C13" s="3" t="s">
        <v>571</v>
      </c>
      <c r="D13" s="4" t="s">
        <v>572</v>
      </c>
      <c r="E13" s="3" t="s">
        <v>573</v>
      </c>
      <c r="F13" s="3" t="s">
        <v>574</v>
      </c>
      <c r="G13" s="3" t="s">
        <v>575</v>
      </c>
      <c r="H13" s="5"/>
      <c r="I13" s="5"/>
      <c r="J13" s="5"/>
      <c r="K13" s="5"/>
      <c r="L13" s="5"/>
      <c r="M13" s="5"/>
      <c r="N13" s="5"/>
      <c r="O13" s="5"/>
      <c r="P13" s="5"/>
      <c r="Q13" s="5"/>
      <c r="R13" s="5"/>
      <c r="S13" s="5"/>
      <c r="T13" s="5"/>
      <c r="U13" s="5"/>
      <c r="V13" s="5"/>
      <c r="W13" s="5"/>
      <c r="X13" s="5"/>
      <c r="Y13" s="5"/>
      <c r="Z13" s="5"/>
    </row>
    <row r="14" spans="1:26" ht="28.5">
      <c r="A14" s="3" t="s">
        <v>576</v>
      </c>
      <c r="B14" s="3" t="s">
        <v>577</v>
      </c>
      <c r="C14" s="3" t="s">
        <v>578</v>
      </c>
      <c r="D14" s="4" t="s">
        <v>579</v>
      </c>
      <c r="E14" s="3" t="s">
        <v>580</v>
      </c>
      <c r="F14" s="3" t="s">
        <v>581</v>
      </c>
      <c r="G14" s="3" t="s">
        <v>582</v>
      </c>
      <c r="H14" s="5"/>
      <c r="I14" s="5"/>
      <c r="J14" s="5"/>
      <c r="K14" s="5"/>
      <c r="L14" s="5"/>
      <c r="M14" s="5"/>
      <c r="N14" s="5"/>
      <c r="O14" s="5"/>
      <c r="P14" s="5"/>
      <c r="Q14" s="5"/>
      <c r="R14" s="5"/>
      <c r="S14" s="5"/>
      <c r="T14" s="5"/>
      <c r="U14" s="5"/>
      <c r="V14" s="5"/>
      <c r="W14" s="5"/>
      <c r="X14" s="5"/>
      <c r="Y14" s="5"/>
      <c r="Z14" s="5"/>
    </row>
    <row r="15" spans="1:26">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ht="21" customHeight="1">
      <c r="A16" s="140" t="s">
        <v>583</v>
      </c>
      <c r="B16" s="140"/>
      <c r="C16" s="140"/>
      <c r="D16" s="140"/>
      <c r="E16" s="140"/>
      <c r="F16" s="140"/>
      <c r="G16" s="140"/>
      <c r="H16" s="5"/>
      <c r="I16" s="5"/>
      <c r="J16" s="5"/>
      <c r="K16" s="5"/>
      <c r="L16" s="5"/>
      <c r="M16" s="5"/>
      <c r="N16" s="5"/>
      <c r="O16" s="5"/>
      <c r="P16" s="5"/>
      <c r="Q16" s="5"/>
      <c r="R16" s="5"/>
      <c r="S16" s="5"/>
      <c r="T16" s="5"/>
      <c r="U16" s="5"/>
      <c r="V16" s="5"/>
      <c r="W16" s="5"/>
      <c r="X16" s="5"/>
      <c r="Y16" s="5"/>
      <c r="Z16" s="5"/>
    </row>
    <row r="17" spans="1:26" ht="15">
      <c r="A17" s="149" t="s">
        <v>129</v>
      </c>
      <c r="B17" s="149"/>
      <c r="C17" s="149" t="s">
        <v>294</v>
      </c>
      <c r="D17" s="149"/>
      <c r="E17" s="149" t="s">
        <v>584</v>
      </c>
      <c r="F17" s="149"/>
      <c r="G17" s="5"/>
      <c r="H17" s="5"/>
      <c r="I17" s="5"/>
      <c r="J17" s="5"/>
      <c r="K17" s="5"/>
      <c r="L17" s="5"/>
      <c r="M17" s="5"/>
      <c r="N17" s="5"/>
      <c r="O17" s="5"/>
      <c r="P17" s="5"/>
      <c r="Q17" s="5"/>
      <c r="R17" s="5"/>
      <c r="S17" s="5"/>
      <c r="T17" s="5"/>
      <c r="U17" s="5"/>
      <c r="V17" s="5"/>
      <c r="W17" s="5"/>
      <c r="X17" s="5"/>
      <c r="Y17" s="5"/>
      <c r="Z17" s="5"/>
    </row>
    <row r="18" spans="1:26">
      <c r="A18" s="144" t="s">
        <v>585</v>
      </c>
      <c r="B18" s="144"/>
      <c r="C18" s="144" t="s">
        <v>586</v>
      </c>
      <c r="D18" s="144"/>
      <c r="E18" s="144" t="s">
        <v>587</v>
      </c>
      <c r="F18" s="144"/>
      <c r="G18" s="5"/>
      <c r="H18" s="5"/>
      <c r="I18" s="5"/>
      <c r="J18" s="5"/>
      <c r="K18" s="5"/>
      <c r="L18" s="5"/>
      <c r="M18" s="5"/>
      <c r="N18" s="5"/>
      <c r="O18" s="5"/>
      <c r="P18" s="5"/>
      <c r="Q18" s="5"/>
      <c r="R18" s="5"/>
      <c r="S18" s="5"/>
      <c r="T18" s="5"/>
      <c r="U18" s="5"/>
      <c r="V18" s="5"/>
      <c r="W18" s="5"/>
      <c r="X18" s="5"/>
      <c r="Y18" s="5"/>
      <c r="Z18" s="5"/>
    </row>
    <row r="19" spans="1:26">
      <c r="A19" s="144" t="s">
        <v>588</v>
      </c>
      <c r="B19" s="144"/>
      <c r="C19" s="144" t="s">
        <v>589</v>
      </c>
      <c r="D19" s="144"/>
      <c r="E19" s="144" t="s">
        <v>590</v>
      </c>
      <c r="F19" s="144"/>
      <c r="G19" s="5"/>
      <c r="H19" s="5"/>
      <c r="I19" s="5"/>
      <c r="J19" s="5"/>
      <c r="K19" s="5"/>
      <c r="L19" s="5"/>
      <c r="M19" s="5"/>
      <c r="N19" s="5"/>
      <c r="O19" s="5"/>
      <c r="P19" s="5"/>
      <c r="Q19" s="5"/>
      <c r="R19" s="5"/>
      <c r="S19" s="5"/>
      <c r="T19" s="5"/>
      <c r="U19" s="5"/>
      <c r="V19" s="5"/>
      <c r="W19" s="5"/>
      <c r="X19" s="5"/>
      <c r="Y19" s="5"/>
      <c r="Z19" s="5"/>
    </row>
    <row r="20" spans="1:26">
      <c r="A20" s="144" t="s">
        <v>591</v>
      </c>
      <c r="B20" s="144"/>
      <c r="C20" s="144" t="s">
        <v>592</v>
      </c>
      <c r="D20" s="144"/>
      <c r="E20" s="144" t="s">
        <v>593</v>
      </c>
      <c r="F20" s="144"/>
      <c r="G20" s="5"/>
      <c r="H20" s="5"/>
      <c r="I20" s="5"/>
      <c r="J20" s="5"/>
      <c r="K20" s="5"/>
      <c r="L20" s="5"/>
      <c r="M20" s="5"/>
      <c r="N20" s="5"/>
      <c r="O20" s="5"/>
      <c r="P20" s="5"/>
      <c r="Q20" s="5"/>
      <c r="R20" s="5"/>
      <c r="S20" s="5"/>
      <c r="T20" s="5"/>
      <c r="U20" s="5"/>
      <c r="V20" s="5"/>
      <c r="W20" s="5"/>
      <c r="X20" s="5"/>
      <c r="Y20" s="5"/>
      <c r="Z20" s="5"/>
    </row>
    <row r="21" spans="1:26">
      <c r="A21" s="144" t="s">
        <v>594</v>
      </c>
      <c r="B21" s="144"/>
      <c r="C21" s="144" t="s">
        <v>595</v>
      </c>
      <c r="D21" s="144"/>
      <c r="E21" s="144" t="s">
        <v>596</v>
      </c>
      <c r="F21" s="144"/>
      <c r="G21" s="5"/>
      <c r="H21" s="5"/>
      <c r="I21" s="5"/>
      <c r="J21" s="5"/>
      <c r="K21" s="5"/>
      <c r="L21" s="5"/>
      <c r="M21" s="5"/>
      <c r="N21" s="5"/>
      <c r="O21" s="5"/>
      <c r="P21" s="5"/>
      <c r="Q21" s="5"/>
      <c r="R21" s="5"/>
      <c r="S21" s="5"/>
      <c r="T21" s="5"/>
      <c r="U21" s="5"/>
      <c r="V21" s="5"/>
      <c r="W21" s="5"/>
      <c r="X21" s="5"/>
      <c r="Y21" s="5"/>
      <c r="Z21" s="5"/>
    </row>
    <row r="22" spans="1:26">
      <c r="A22" s="144" t="s">
        <v>597</v>
      </c>
      <c r="B22" s="144"/>
      <c r="C22" s="144" t="s">
        <v>1077</v>
      </c>
      <c r="D22" s="144"/>
      <c r="E22" s="144" t="s">
        <v>598</v>
      </c>
      <c r="F22" s="144"/>
      <c r="G22" s="5"/>
      <c r="H22" s="5"/>
      <c r="I22" s="5"/>
      <c r="J22" s="5"/>
      <c r="K22" s="5"/>
      <c r="L22" s="5"/>
      <c r="M22" s="5"/>
      <c r="N22" s="5"/>
      <c r="O22" s="5"/>
      <c r="P22" s="5"/>
      <c r="Q22" s="5"/>
      <c r="R22" s="5"/>
      <c r="S22" s="5"/>
      <c r="T22" s="5"/>
      <c r="U22" s="5"/>
      <c r="V22" s="5"/>
      <c r="W22" s="5"/>
      <c r="X22" s="5"/>
      <c r="Y22" s="5"/>
      <c r="Z22" s="5"/>
    </row>
    <row r="23" spans="1:26">
      <c r="A23" s="144" t="s">
        <v>599</v>
      </c>
      <c r="B23" s="144"/>
      <c r="C23" s="144" t="s">
        <v>600</v>
      </c>
      <c r="D23" s="144"/>
      <c r="E23" s="144" t="s">
        <v>601</v>
      </c>
      <c r="F23" s="144"/>
      <c r="G23" s="5"/>
      <c r="H23" s="5"/>
      <c r="I23" s="5"/>
      <c r="J23" s="5"/>
      <c r="K23" s="5"/>
      <c r="L23" s="5"/>
      <c r="M23" s="5"/>
      <c r="N23" s="5"/>
      <c r="O23" s="5"/>
      <c r="P23" s="5"/>
      <c r="Q23" s="5"/>
      <c r="R23" s="5"/>
      <c r="S23" s="5"/>
      <c r="T23" s="5"/>
      <c r="U23" s="5"/>
      <c r="V23" s="5"/>
      <c r="W23" s="5"/>
      <c r="X23" s="5"/>
      <c r="Y23" s="5"/>
      <c r="Z23" s="5"/>
    </row>
    <row r="24" spans="1:26">
      <c r="A24" s="144" t="s">
        <v>602</v>
      </c>
      <c r="B24" s="144"/>
      <c r="C24" s="144" t="s">
        <v>603</v>
      </c>
      <c r="D24" s="144"/>
      <c r="E24" s="144" t="s">
        <v>604</v>
      </c>
      <c r="F24" s="144"/>
      <c r="G24" s="5"/>
      <c r="H24" s="5"/>
      <c r="I24" s="5"/>
      <c r="J24" s="5"/>
      <c r="K24" s="5"/>
      <c r="L24" s="5"/>
      <c r="M24" s="5"/>
      <c r="N24" s="5"/>
      <c r="O24" s="5"/>
      <c r="P24" s="5"/>
      <c r="Q24" s="5"/>
      <c r="R24" s="5"/>
      <c r="S24" s="5"/>
      <c r="T24" s="5"/>
      <c r="U24" s="5"/>
      <c r="V24" s="5"/>
      <c r="W24" s="5"/>
      <c r="X24" s="5"/>
      <c r="Y24" s="5"/>
      <c r="Z24" s="5"/>
    </row>
    <row r="25" spans="1:26">
      <c r="A25" s="152"/>
      <c r="B25" s="152"/>
      <c r="C25" s="5"/>
      <c r="D25" s="5"/>
      <c r="E25" s="5"/>
      <c r="F25" s="5"/>
      <c r="G25" s="5"/>
      <c r="H25" s="5"/>
      <c r="I25" s="5"/>
      <c r="J25" s="5"/>
      <c r="K25" s="5"/>
      <c r="L25" s="5"/>
      <c r="M25" s="5"/>
      <c r="N25" s="5"/>
      <c r="O25" s="5"/>
      <c r="P25" s="5"/>
      <c r="Q25" s="5"/>
      <c r="R25" s="5"/>
      <c r="S25" s="5"/>
      <c r="T25" s="5"/>
      <c r="U25" s="5"/>
      <c r="V25" s="5"/>
      <c r="W25" s="5"/>
      <c r="X25" s="5"/>
      <c r="Y25" s="5"/>
      <c r="Z25" s="5"/>
    </row>
    <row r="26" spans="1:26" ht="48" customHeight="1">
      <c r="A26" s="150" t="s">
        <v>605</v>
      </c>
      <c r="B26" s="150"/>
      <c r="C26" s="150"/>
      <c r="D26" s="150"/>
      <c r="E26" s="150"/>
      <c r="F26" s="150"/>
      <c r="G26" s="150"/>
      <c r="H26" s="5"/>
      <c r="I26" s="5"/>
      <c r="J26" s="5"/>
      <c r="K26" s="5"/>
      <c r="L26" s="5"/>
      <c r="M26" s="5"/>
      <c r="N26" s="5"/>
      <c r="O26" s="5"/>
      <c r="P26" s="5"/>
      <c r="Q26" s="5"/>
      <c r="R26" s="5"/>
      <c r="S26" s="5"/>
      <c r="T26" s="5"/>
      <c r="U26" s="5"/>
      <c r="V26" s="5"/>
      <c r="W26" s="5"/>
      <c r="X26" s="5"/>
      <c r="Y26" s="5"/>
      <c r="Z26" s="5"/>
    </row>
    <row r="27" spans="1:26" ht="28.5">
      <c r="A27" s="3" t="s">
        <v>606</v>
      </c>
      <c r="B27" s="3" t="s">
        <v>607</v>
      </c>
      <c r="C27" s="3" t="s">
        <v>608</v>
      </c>
      <c r="D27" s="117" t="s">
        <v>609</v>
      </c>
      <c r="E27" s="3" t="s">
        <v>610</v>
      </c>
      <c r="F27" s="3" t="s">
        <v>611</v>
      </c>
      <c r="G27" s="3" t="s">
        <v>612</v>
      </c>
      <c r="H27" s="5"/>
      <c r="I27" s="5"/>
      <c r="J27" s="5"/>
      <c r="K27" s="5"/>
      <c r="L27" s="5"/>
      <c r="M27" s="5"/>
      <c r="N27" s="5"/>
      <c r="O27" s="5"/>
      <c r="P27" s="5"/>
      <c r="Q27" s="5"/>
      <c r="R27" s="5"/>
      <c r="S27" s="5"/>
      <c r="T27" s="5"/>
      <c r="U27" s="5"/>
      <c r="V27" s="5"/>
      <c r="W27" s="5"/>
      <c r="X27" s="5"/>
      <c r="Y27" s="5"/>
      <c r="Z27" s="5"/>
    </row>
    <row r="28" spans="1:26" ht="28.5">
      <c r="A28" s="3" t="s">
        <v>613</v>
      </c>
      <c r="B28" s="3" t="s">
        <v>614</v>
      </c>
      <c r="C28" s="3" t="s">
        <v>615</v>
      </c>
      <c r="D28" s="117" t="s">
        <v>616</v>
      </c>
      <c r="E28" s="3" t="s">
        <v>617</v>
      </c>
      <c r="F28" s="3" t="s">
        <v>618</v>
      </c>
      <c r="G28" s="3" t="s">
        <v>619</v>
      </c>
      <c r="H28" s="5"/>
      <c r="I28" s="5"/>
      <c r="J28" s="5"/>
      <c r="K28" s="5"/>
      <c r="L28" s="5"/>
      <c r="M28" s="5"/>
      <c r="N28" s="5"/>
      <c r="O28" s="5"/>
      <c r="P28" s="5"/>
      <c r="Q28" s="5"/>
      <c r="R28" s="5"/>
      <c r="S28" s="5"/>
      <c r="T28" s="5"/>
      <c r="U28" s="5"/>
      <c r="V28" s="5"/>
      <c r="W28" s="5"/>
      <c r="X28" s="5"/>
      <c r="Y28" s="5"/>
      <c r="Z28" s="5"/>
    </row>
    <row r="29" spans="1:26" ht="28.5">
      <c r="A29" s="3" t="s">
        <v>620</v>
      </c>
      <c r="B29" s="3" t="s">
        <v>621</v>
      </c>
      <c r="C29" s="3" t="s">
        <v>622</v>
      </c>
      <c r="D29" s="117" t="s">
        <v>623</v>
      </c>
      <c r="E29" s="3" t="s">
        <v>617</v>
      </c>
      <c r="F29" s="3" t="s">
        <v>624</v>
      </c>
      <c r="G29" s="3" t="s">
        <v>625</v>
      </c>
      <c r="H29" s="5"/>
      <c r="I29" s="5"/>
      <c r="J29" s="5"/>
      <c r="K29" s="5"/>
      <c r="L29" s="5"/>
      <c r="M29" s="5"/>
      <c r="N29" s="5"/>
      <c r="O29" s="5"/>
      <c r="P29" s="5"/>
      <c r="Q29" s="5"/>
      <c r="R29" s="5"/>
      <c r="S29" s="5"/>
      <c r="T29" s="5"/>
      <c r="U29" s="5"/>
      <c r="V29" s="5"/>
      <c r="W29" s="5"/>
      <c r="X29" s="5"/>
      <c r="Y29" s="5"/>
      <c r="Z29" s="5"/>
    </row>
    <row r="30" spans="1:26" ht="42.75">
      <c r="A30" s="3" t="s">
        <v>626</v>
      </c>
      <c r="B30" s="3" t="s">
        <v>627</v>
      </c>
      <c r="C30" s="3" t="s">
        <v>628</v>
      </c>
      <c r="D30" s="117" t="s">
        <v>629</v>
      </c>
      <c r="E30" s="3" t="s">
        <v>630</v>
      </c>
      <c r="F30" s="3" t="s">
        <v>631</v>
      </c>
      <c r="G30" s="3" t="s">
        <v>632</v>
      </c>
      <c r="H30" s="5"/>
      <c r="I30" s="5"/>
      <c r="J30" s="5"/>
      <c r="K30" s="5"/>
      <c r="L30" s="5"/>
      <c r="M30" s="5"/>
      <c r="N30" s="5"/>
      <c r="O30" s="5"/>
      <c r="P30" s="5"/>
      <c r="Q30" s="5"/>
      <c r="R30" s="5"/>
      <c r="S30" s="5"/>
      <c r="T30" s="5"/>
      <c r="U30" s="5"/>
      <c r="V30" s="5"/>
      <c r="W30" s="5"/>
      <c r="X30" s="5"/>
      <c r="Y30" s="5"/>
      <c r="Z30" s="5"/>
    </row>
    <row r="31" spans="1:26" ht="42.75">
      <c r="A31" s="3" t="s">
        <v>633</v>
      </c>
      <c r="B31" s="3" t="s">
        <v>634</v>
      </c>
      <c r="C31" s="3" t="s">
        <v>635</v>
      </c>
      <c r="D31" s="117" t="s">
        <v>636</v>
      </c>
      <c r="E31" s="3" t="s">
        <v>637</v>
      </c>
      <c r="F31" s="3" t="s">
        <v>638</v>
      </c>
      <c r="G31" s="3" t="s">
        <v>639</v>
      </c>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71.25">
      <c r="A33" s="119" t="s">
        <v>640</v>
      </c>
      <c r="B33" s="118" t="s">
        <v>641</v>
      </c>
      <c r="C33" s="118" t="s">
        <v>642</v>
      </c>
      <c r="D33" s="118"/>
      <c r="E33" s="118"/>
      <c r="F33" s="118"/>
      <c r="G33" s="118"/>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48" customHeight="1">
      <c r="A35" s="151" t="s">
        <v>643</v>
      </c>
      <c r="B35" s="151"/>
      <c r="C35" s="151"/>
      <c r="D35" s="151"/>
      <c r="E35" s="151"/>
      <c r="F35" s="151"/>
      <c r="G35" s="151"/>
      <c r="H35" s="5"/>
      <c r="I35" s="5"/>
      <c r="J35" s="5"/>
      <c r="K35" s="5"/>
      <c r="L35" s="5"/>
      <c r="M35" s="5"/>
      <c r="N35" s="5"/>
      <c r="O35" s="5"/>
      <c r="P35" s="5"/>
      <c r="Q35" s="5"/>
      <c r="R35" s="5"/>
      <c r="S35" s="5"/>
      <c r="T35" s="5"/>
      <c r="U35" s="5"/>
      <c r="V35" s="5"/>
      <c r="W35" s="5"/>
      <c r="X35" s="5"/>
      <c r="Y35" s="5"/>
      <c r="Z35" s="5"/>
    </row>
    <row r="36" spans="1:26" ht="42.75">
      <c r="A36" s="3" t="s">
        <v>644</v>
      </c>
      <c r="B36" s="3" t="s">
        <v>645</v>
      </c>
      <c r="C36" s="3" t="s">
        <v>646</v>
      </c>
      <c r="D36" s="117" t="s">
        <v>551</v>
      </c>
      <c r="E36" s="3" t="s">
        <v>647</v>
      </c>
      <c r="F36" s="3" t="s">
        <v>648</v>
      </c>
      <c r="G36" s="3" t="s">
        <v>649</v>
      </c>
      <c r="H36" s="5"/>
      <c r="I36" s="5"/>
      <c r="J36" s="5"/>
      <c r="K36" s="5"/>
      <c r="L36" s="5"/>
      <c r="M36" s="5"/>
      <c r="N36" s="5"/>
      <c r="O36" s="5"/>
      <c r="P36" s="5"/>
      <c r="Q36" s="5"/>
      <c r="R36" s="5"/>
      <c r="S36" s="5"/>
      <c r="T36" s="5"/>
      <c r="U36" s="5"/>
      <c r="V36" s="5"/>
      <c r="W36" s="5"/>
      <c r="X36" s="5"/>
      <c r="Y36" s="5"/>
      <c r="Z36" s="5"/>
    </row>
    <row r="37" spans="1:26" ht="48" customHeight="1">
      <c r="A37" s="3" t="s">
        <v>650</v>
      </c>
      <c r="B37" s="3" t="s">
        <v>651</v>
      </c>
      <c r="C37" s="3" t="s">
        <v>652</v>
      </c>
      <c r="D37" s="117" t="s">
        <v>653</v>
      </c>
      <c r="E37" s="3" t="s">
        <v>654</v>
      </c>
      <c r="F37" s="3" t="s">
        <v>655</v>
      </c>
      <c r="G37" s="3" t="s">
        <v>656</v>
      </c>
      <c r="H37" s="5"/>
      <c r="I37" s="5"/>
      <c r="J37" s="5"/>
      <c r="K37" s="5"/>
      <c r="L37" s="5"/>
      <c r="M37" s="5"/>
      <c r="N37" s="5"/>
      <c r="O37" s="5"/>
      <c r="P37" s="5"/>
      <c r="Q37" s="5"/>
      <c r="R37" s="5"/>
      <c r="S37" s="5"/>
      <c r="T37" s="5"/>
      <c r="U37" s="5"/>
      <c r="V37" s="5"/>
      <c r="W37" s="5"/>
      <c r="X37" s="5"/>
      <c r="Y37" s="5"/>
      <c r="Z37" s="5"/>
    </row>
    <row r="38" spans="1:26" ht="48" customHeight="1">
      <c r="A38" s="3" t="s">
        <v>657</v>
      </c>
      <c r="B38" s="3" t="s">
        <v>658</v>
      </c>
      <c r="C38" s="3" t="s">
        <v>635</v>
      </c>
      <c r="D38" s="117" t="s">
        <v>659</v>
      </c>
      <c r="E38" s="3" t="s">
        <v>660</v>
      </c>
      <c r="F38" s="3" t="s">
        <v>661</v>
      </c>
      <c r="G38" s="3" t="s">
        <v>662</v>
      </c>
      <c r="H38" s="5"/>
      <c r="I38" s="5"/>
      <c r="J38" s="5"/>
      <c r="K38" s="5"/>
      <c r="L38" s="5"/>
      <c r="M38" s="5"/>
      <c r="N38" s="5"/>
      <c r="O38" s="5"/>
      <c r="P38" s="5"/>
      <c r="Q38" s="5"/>
      <c r="R38" s="5"/>
      <c r="S38" s="5"/>
      <c r="T38" s="5"/>
      <c r="U38" s="5"/>
      <c r="V38" s="5"/>
      <c r="W38" s="5"/>
      <c r="X38" s="5"/>
      <c r="Y38" s="5"/>
      <c r="Z38" s="5"/>
    </row>
    <row r="39" spans="1:26" ht="48" customHeight="1">
      <c r="A39" s="3" t="s">
        <v>1032</v>
      </c>
      <c r="B39" s="3" t="s">
        <v>525</v>
      </c>
      <c r="C39" s="3" t="s">
        <v>1078</v>
      </c>
      <c r="D39" s="117" t="s">
        <v>527</v>
      </c>
      <c r="E39" s="3" t="s">
        <v>1079</v>
      </c>
      <c r="F39" s="3" t="s">
        <v>529</v>
      </c>
      <c r="G39" s="3" t="s">
        <v>1080</v>
      </c>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t="s">
        <v>1081</v>
      </c>
      <c r="B41" s="5"/>
      <c r="C41" s="5" t="s">
        <v>1082</v>
      </c>
      <c r="D41" s="5"/>
      <c r="E41" s="5" t="s">
        <v>1083</v>
      </c>
      <c r="F41" s="5"/>
      <c r="G41" s="5"/>
      <c r="H41" s="5"/>
      <c r="I41" s="5"/>
      <c r="J41" s="5"/>
      <c r="K41" s="5"/>
      <c r="L41" s="5"/>
      <c r="M41" s="5"/>
      <c r="N41" s="5"/>
      <c r="O41" s="5"/>
      <c r="P41" s="5"/>
      <c r="Q41" s="5"/>
      <c r="R41" s="5"/>
      <c r="S41" s="5"/>
      <c r="T41" s="5"/>
      <c r="U41" s="5"/>
      <c r="V41" s="5"/>
      <c r="W41" s="5"/>
      <c r="X41" s="5"/>
      <c r="Y41" s="5"/>
      <c r="Z41" s="5"/>
    </row>
    <row r="42" spans="1:26">
      <c r="A42" s="5" t="s">
        <v>308</v>
      </c>
      <c r="B42" s="5"/>
      <c r="C42" s="5" t="s">
        <v>1084</v>
      </c>
      <c r="D42" s="5"/>
      <c r="E42" s="5" t="s">
        <v>1085</v>
      </c>
      <c r="F42" s="5"/>
      <c r="G42" s="5"/>
      <c r="H42" s="5"/>
      <c r="I42" s="5"/>
      <c r="J42" s="5"/>
      <c r="K42" s="5"/>
      <c r="L42" s="5"/>
      <c r="M42" s="5"/>
      <c r="N42" s="5"/>
      <c r="O42" s="5"/>
      <c r="P42" s="5"/>
      <c r="Q42" s="5"/>
      <c r="R42" s="5"/>
      <c r="S42" s="5"/>
      <c r="T42" s="5"/>
      <c r="U42" s="5"/>
      <c r="V42" s="5"/>
      <c r="W42" s="5"/>
      <c r="X42" s="5"/>
      <c r="Y42" s="5"/>
      <c r="Z42" s="5"/>
    </row>
    <row r="43" spans="1:26">
      <c r="A43" s="5" t="s">
        <v>1086</v>
      </c>
      <c r="B43" s="5"/>
      <c r="C43" s="5" t="s">
        <v>1088</v>
      </c>
      <c r="D43" s="5"/>
      <c r="E43" s="5" t="s">
        <v>1087</v>
      </c>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sheetData>
  <mergeCells count="30">
    <mergeCell ref="A1:G1"/>
    <mergeCell ref="A2:G2"/>
    <mergeCell ref="A16:G16"/>
    <mergeCell ref="A26:G26"/>
    <mergeCell ref="A35:G35"/>
    <mergeCell ref="A17:B17"/>
    <mergeCell ref="A18:B18"/>
    <mergeCell ref="A19:B19"/>
    <mergeCell ref="A20:B20"/>
    <mergeCell ref="A21:B21"/>
    <mergeCell ref="A22:B22"/>
    <mergeCell ref="A23:B23"/>
    <mergeCell ref="A24:B24"/>
    <mergeCell ref="A25:B25"/>
    <mergeCell ref="C17:D17"/>
    <mergeCell ref="C18:D18"/>
    <mergeCell ref="C24:D24"/>
    <mergeCell ref="E17:F17"/>
    <mergeCell ref="E18:F18"/>
    <mergeCell ref="E19:F19"/>
    <mergeCell ref="E20:F20"/>
    <mergeCell ref="E21:F21"/>
    <mergeCell ref="E22:F22"/>
    <mergeCell ref="E23:F23"/>
    <mergeCell ref="E24:F24"/>
    <mergeCell ref="C19:D19"/>
    <mergeCell ref="C20:D20"/>
    <mergeCell ref="C21:D21"/>
    <mergeCell ref="C22:D22"/>
    <mergeCell ref="C23:D23"/>
  </mergeCells>
  <hyperlinks>
    <hyperlink ref="D5" r:id="rId1"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K42"/>
  <sheetViews>
    <sheetView workbookViewId="0"/>
  </sheetViews>
  <sheetFormatPr defaultRowHeight="14.25"/>
  <cols>
    <col min="10" max="10" width="10.75" customWidth="1"/>
  </cols>
  <sheetData>
    <row r="1" spans="1:11">
      <c r="A1" s="153" t="s">
        <v>663</v>
      </c>
      <c r="B1" s="153"/>
      <c r="C1" s="153"/>
      <c r="D1" s="153"/>
      <c r="E1" s="153"/>
      <c r="F1" s="153"/>
      <c r="G1" s="153"/>
      <c r="H1" s="153"/>
      <c r="I1" s="153"/>
      <c r="J1" s="153"/>
      <c r="K1" s="45"/>
    </row>
    <row r="2" spans="1:11">
      <c r="A2" s="153" t="s">
        <v>664</v>
      </c>
      <c r="B2" s="153"/>
      <c r="C2" s="153"/>
      <c r="D2" s="153"/>
      <c r="E2" s="153"/>
      <c r="F2" s="153"/>
      <c r="G2" s="153"/>
      <c r="H2" s="153"/>
      <c r="I2" s="153"/>
      <c r="J2" s="153"/>
      <c r="K2" s="45"/>
    </row>
    <row r="3" spans="1:11">
      <c r="A3" s="46"/>
      <c r="B3" s="46"/>
      <c r="C3" s="46"/>
      <c r="D3" s="46"/>
      <c r="E3" s="46"/>
      <c r="F3" s="46"/>
      <c r="G3" s="46"/>
      <c r="H3" s="46"/>
      <c r="I3" s="46"/>
      <c r="J3" s="46"/>
      <c r="K3" s="45"/>
    </row>
    <row r="4" spans="1:11">
      <c r="A4" s="47"/>
      <c r="B4" s="47" t="s">
        <v>665</v>
      </c>
      <c r="C4" s="47"/>
      <c r="D4" s="47"/>
      <c r="E4" s="48"/>
      <c r="F4" s="47"/>
      <c r="G4" s="48"/>
      <c r="H4" s="47"/>
      <c r="I4" s="47"/>
      <c r="J4" s="48"/>
      <c r="K4" s="47"/>
    </row>
    <row r="5" spans="1:11">
      <c r="A5" s="49" t="s">
        <v>666</v>
      </c>
      <c r="B5" s="46"/>
      <c r="C5" s="46"/>
      <c r="D5" s="46"/>
      <c r="E5" s="46"/>
      <c r="F5" s="46"/>
      <c r="G5" s="46"/>
      <c r="H5" s="46"/>
      <c r="I5" s="46"/>
      <c r="J5" s="46"/>
      <c r="K5" s="45"/>
    </row>
    <row r="6" spans="1:11">
      <c r="A6" s="46"/>
      <c r="B6" s="46"/>
      <c r="C6" s="46"/>
      <c r="D6" s="46"/>
      <c r="E6" s="46"/>
      <c r="F6" s="46"/>
      <c r="G6" s="46"/>
      <c r="H6" s="46"/>
      <c r="I6" s="46"/>
      <c r="J6" s="46"/>
      <c r="K6" s="45"/>
    </row>
    <row r="7" spans="1:11">
      <c r="A7" s="45"/>
      <c r="B7" s="45"/>
      <c r="C7" s="45"/>
      <c r="D7" s="45"/>
      <c r="E7" s="45"/>
      <c r="F7" s="45"/>
      <c r="G7" s="45"/>
      <c r="H7" s="45"/>
      <c r="I7" s="45"/>
      <c r="J7" s="46" t="s">
        <v>667</v>
      </c>
      <c r="K7" s="45"/>
    </row>
    <row r="8" spans="1:11">
      <c r="A8" s="50" t="s">
        <v>668</v>
      </c>
      <c r="B8" s="45"/>
      <c r="C8" s="45"/>
      <c r="D8" s="45"/>
      <c r="E8" s="45"/>
      <c r="F8" s="45"/>
      <c r="G8" s="45"/>
      <c r="H8" s="45"/>
      <c r="I8" s="45"/>
      <c r="J8" s="45"/>
      <c r="K8" s="45"/>
    </row>
    <row r="9" spans="1:11">
      <c r="A9" s="45"/>
      <c r="B9" s="51" t="s">
        <v>335</v>
      </c>
      <c r="C9" s="45"/>
      <c r="D9" s="65" t="s">
        <v>669</v>
      </c>
      <c r="E9" s="66"/>
      <c r="F9" s="65"/>
      <c r="G9" s="65"/>
      <c r="H9" s="65"/>
      <c r="I9" s="45"/>
      <c r="J9" s="52">
        <v>290</v>
      </c>
      <c r="K9" s="45"/>
    </row>
    <row r="10" spans="1:11">
      <c r="A10" s="45"/>
      <c r="B10" s="51" t="s">
        <v>670</v>
      </c>
      <c r="C10" s="45"/>
      <c r="D10" s="45"/>
      <c r="E10" s="45"/>
      <c r="F10" s="45"/>
      <c r="G10" s="45"/>
      <c r="H10" s="45"/>
      <c r="I10" s="45"/>
      <c r="J10" s="53" t="s">
        <v>671</v>
      </c>
      <c r="K10" s="45"/>
    </row>
    <row r="11" spans="1:11">
      <c r="A11" s="45"/>
      <c r="B11" s="45" t="s">
        <v>672</v>
      </c>
      <c r="C11" s="45"/>
      <c r="D11" s="45"/>
      <c r="E11" s="45"/>
      <c r="F11" s="45"/>
      <c r="G11" s="45"/>
      <c r="H11" s="45"/>
      <c r="I11" s="45"/>
      <c r="J11" s="54" t="s">
        <v>667</v>
      </c>
      <c r="K11" s="45"/>
    </row>
    <row r="12" spans="1:11">
      <c r="A12" s="45"/>
      <c r="B12" s="45" t="s">
        <v>673</v>
      </c>
      <c r="C12" s="45"/>
      <c r="D12" s="45"/>
      <c r="E12" s="45"/>
      <c r="F12" s="45"/>
      <c r="G12" s="45"/>
      <c r="H12" s="45"/>
      <c r="I12" s="45"/>
      <c r="J12" s="54">
        <v>0</v>
      </c>
      <c r="K12" s="45"/>
    </row>
    <row r="13" spans="1:11">
      <c r="A13" s="45"/>
      <c r="B13" s="45" t="s">
        <v>674</v>
      </c>
      <c r="C13" s="45"/>
      <c r="D13" s="45"/>
      <c r="E13" s="45"/>
      <c r="F13" s="45"/>
      <c r="G13" s="45"/>
      <c r="H13" s="45"/>
      <c r="I13" s="45"/>
      <c r="J13" s="55">
        <v>15</v>
      </c>
      <c r="K13" s="45"/>
    </row>
    <row r="14" spans="1:11">
      <c r="A14" s="45"/>
      <c r="B14" s="45" t="s">
        <v>675</v>
      </c>
      <c r="C14" s="45"/>
      <c r="D14" s="45"/>
      <c r="E14" s="45"/>
      <c r="F14" s="45"/>
      <c r="G14" s="45"/>
      <c r="H14" s="45"/>
      <c r="I14" s="45"/>
      <c r="J14" s="55">
        <v>0</v>
      </c>
      <c r="K14" s="45"/>
    </row>
    <row r="17" spans="1:11">
      <c r="A17" s="50" t="s">
        <v>676</v>
      </c>
      <c r="B17" s="45"/>
      <c r="C17" s="45"/>
      <c r="D17" s="45"/>
      <c r="E17" s="45"/>
      <c r="F17" s="45"/>
      <c r="G17" s="45"/>
      <c r="H17" s="45"/>
      <c r="I17" s="45"/>
      <c r="K17" s="45"/>
    </row>
    <row r="18" spans="1:11">
      <c r="A18" s="45"/>
      <c r="B18" s="45" t="s">
        <v>335</v>
      </c>
      <c r="C18" s="45"/>
      <c r="D18" s="45"/>
      <c r="E18" s="45"/>
      <c r="F18" s="45"/>
      <c r="G18" s="45"/>
      <c r="H18" s="45"/>
      <c r="I18" s="45"/>
      <c r="J18" s="56">
        <f>J9</f>
        <v>290</v>
      </c>
      <c r="K18" s="45"/>
    </row>
    <row r="19" spans="1:11">
      <c r="A19" s="45"/>
      <c r="B19" s="45" t="s">
        <v>677</v>
      </c>
      <c r="C19" s="45"/>
      <c r="D19" s="45"/>
      <c r="E19" s="45"/>
      <c r="F19" s="45"/>
      <c r="G19" s="45"/>
      <c r="H19" s="45"/>
      <c r="I19" s="45"/>
      <c r="J19" s="56">
        <f>326.1+(0.97*(J18-250))</f>
        <v>364.90000000000003</v>
      </c>
      <c r="K19" s="57" t="s">
        <v>667</v>
      </c>
    </row>
    <row r="20" spans="1:11">
      <c r="A20" s="45"/>
      <c r="B20" s="45" t="s">
        <v>678</v>
      </c>
      <c r="C20" s="45"/>
      <c r="D20" s="45"/>
      <c r="E20" s="45"/>
      <c r="F20" s="45"/>
      <c r="G20" s="45"/>
      <c r="H20" s="45"/>
      <c r="I20" s="45"/>
      <c r="J20" s="56">
        <f>J19*1.171</f>
        <v>427.29790000000003</v>
      </c>
      <c r="K20" s="57" t="s">
        <v>667</v>
      </c>
    </row>
    <row r="21" spans="1:11">
      <c r="A21" s="45"/>
      <c r="B21" s="45" t="s">
        <v>679</v>
      </c>
      <c r="C21" s="45"/>
      <c r="D21" s="45"/>
      <c r="E21" s="45"/>
      <c r="F21" s="45"/>
      <c r="G21" s="45"/>
      <c r="H21" s="45"/>
      <c r="I21" s="45"/>
      <c r="J21" s="56">
        <f>+J20*1.2</f>
        <v>512.75747999999999</v>
      </c>
      <c r="K21" s="45"/>
    </row>
    <row r="22" spans="1:11">
      <c r="A22" s="45"/>
      <c r="B22" s="45" t="s">
        <v>680</v>
      </c>
      <c r="C22" s="45"/>
      <c r="D22" s="45"/>
      <c r="E22" s="45"/>
      <c r="F22" s="45"/>
      <c r="G22" s="45"/>
      <c r="H22" s="45"/>
      <c r="I22" s="45"/>
      <c r="J22" s="56">
        <f>J21*1.015</f>
        <v>520.44884219999994</v>
      </c>
      <c r="K22" s="45"/>
    </row>
    <row r="23" spans="1:11">
      <c r="A23" s="45"/>
      <c r="B23" s="45" t="s">
        <v>681</v>
      </c>
      <c r="C23" s="45"/>
      <c r="D23" s="45"/>
      <c r="E23" s="45"/>
      <c r="F23" s="45"/>
      <c r="G23" s="45"/>
      <c r="H23" s="45"/>
      <c r="I23" s="45"/>
      <c r="J23" s="56">
        <f>J13*13</f>
        <v>195</v>
      </c>
      <c r="K23" s="45"/>
    </row>
    <row r="24" spans="1:11">
      <c r="A24" s="45"/>
      <c r="B24" s="45" t="s">
        <v>682</v>
      </c>
      <c r="C24" s="45"/>
      <c r="D24" s="45"/>
      <c r="E24" s="45"/>
      <c r="F24" s="45"/>
      <c r="G24" s="45"/>
      <c r="H24" s="45"/>
      <c r="I24" s="45"/>
      <c r="J24" s="56">
        <f>+J14*0.8</f>
        <v>0</v>
      </c>
      <c r="K24" s="45"/>
    </row>
    <row r="25" spans="1:11">
      <c r="A25" s="45"/>
      <c r="B25" s="45" t="s">
        <v>360</v>
      </c>
      <c r="C25" s="45"/>
      <c r="D25" s="45"/>
      <c r="E25" s="45"/>
      <c r="F25" s="45"/>
      <c r="G25" s="45"/>
      <c r="H25" s="45"/>
      <c r="I25" s="45"/>
      <c r="J25" s="67">
        <f>+J22+J23+J24</f>
        <v>715.44884219999994</v>
      </c>
      <c r="K25" s="45"/>
    </row>
    <row r="26" spans="1:11">
      <c r="A26" s="45"/>
      <c r="B26" s="45" t="s">
        <v>683</v>
      </c>
      <c r="C26" s="45"/>
      <c r="D26" s="45"/>
      <c r="E26" s="45"/>
      <c r="F26" s="45"/>
      <c r="G26" s="45" t="s">
        <v>667</v>
      </c>
      <c r="H26" s="45"/>
      <c r="I26" s="45"/>
      <c r="J26" s="58">
        <v>6660</v>
      </c>
      <c r="K26" s="45"/>
    </row>
    <row r="27" spans="1:11">
      <c r="A27" s="45"/>
      <c r="B27" s="45" t="s">
        <v>684</v>
      </c>
      <c r="C27" s="45"/>
      <c r="D27" s="45"/>
      <c r="E27" s="45"/>
      <c r="F27" s="45"/>
      <c r="G27" s="45"/>
      <c r="H27" s="45"/>
      <c r="I27" s="45"/>
      <c r="J27" s="59">
        <f>+J25*J26</f>
        <v>4764889.2890519993</v>
      </c>
      <c r="K27" s="60" t="s">
        <v>667</v>
      </c>
    </row>
    <row r="28" spans="1:11">
      <c r="A28" s="45"/>
      <c r="B28" s="45"/>
      <c r="C28" s="45"/>
      <c r="D28" s="45"/>
      <c r="E28" s="45"/>
      <c r="F28" s="45"/>
      <c r="G28" s="45"/>
      <c r="H28" s="45"/>
      <c r="I28" s="45"/>
      <c r="J28" s="61"/>
      <c r="K28" s="45"/>
    </row>
    <row r="29" spans="1:11">
      <c r="A29" s="50" t="s">
        <v>72</v>
      </c>
      <c r="B29" s="45"/>
      <c r="C29" s="45"/>
      <c r="D29" s="45"/>
      <c r="E29" s="45"/>
      <c r="F29" s="45"/>
      <c r="G29" s="45"/>
      <c r="H29" s="45"/>
      <c r="I29" s="45"/>
      <c r="J29" s="61"/>
      <c r="K29" s="45"/>
    </row>
    <row r="30" spans="1:11">
      <c r="A30" s="45"/>
      <c r="B30" s="45" t="s">
        <v>685</v>
      </c>
      <c r="C30" s="45"/>
      <c r="D30" s="45"/>
      <c r="E30" s="45"/>
      <c r="F30" s="45"/>
      <c r="G30" s="45"/>
      <c r="H30" s="62">
        <v>16</v>
      </c>
      <c r="J30" s="61" t="s">
        <v>667</v>
      </c>
      <c r="K30" s="45" t="s">
        <v>667</v>
      </c>
    </row>
    <row r="31" spans="1:11">
      <c r="A31" s="45"/>
      <c r="B31" s="45" t="s">
        <v>360</v>
      </c>
      <c r="C31" s="45"/>
      <c r="D31" s="45"/>
      <c r="E31" s="45"/>
      <c r="F31" s="45"/>
      <c r="G31" s="45"/>
      <c r="H31" s="71">
        <f>+J25</f>
        <v>715.44884219999994</v>
      </c>
      <c r="J31" s="63">
        <f>+H31*H30</f>
        <v>11447.181475199999</v>
      </c>
      <c r="K31" s="45" t="s">
        <v>667</v>
      </c>
    </row>
    <row r="34" spans="1:11">
      <c r="A34" s="50" t="s">
        <v>686</v>
      </c>
      <c r="B34" s="45"/>
      <c r="C34" s="45"/>
      <c r="D34" s="45"/>
      <c r="E34" s="45"/>
      <c r="F34" s="45"/>
      <c r="G34" s="45"/>
      <c r="J34" s="68">
        <f>J27+J31</f>
        <v>4776336.4705271991</v>
      </c>
      <c r="K34" s="50" t="s">
        <v>667</v>
      </c>
    </row>
    <row r="35" spans="1:11">
      <c r="A35" s="45"/>
      <c r="B35" s="45"/>
      <c r="C35" s="45"/>
      <c r="D35" s="45"/>
      <c r="E35" s="45"/>
      <c r="F35" s="45"/>
      <c r="G35" s="45"/>
      <c r="I35" s="72" t="s">
        <v>373</v>
      </c>
      <c r="K35" s="45"/>
    </row>
    <row r="36" spans="1:11">
      <c r="A36" s="45"/>
      <c r="B36" s="45"/>
      <c r="C36" s="45"/>
      <c r="D36" s="45"/>
      <c r="E36" s="45" t="s">
        <v>667</v>
      </c>
      <c r="F36" s="45" t="s">
        <v>687</v>
      </c>
      <c r="G36" s="45"/>
      <c r="I36" s="73">
        <v>0.04</v>
      </c>
      <c r="J36" s="69">
        <f>((J34/1.04)*(I36))</f>
        <v>183705.24886643075</v>
      </c>
      <c r="K36" s="45"/>
    </row>
    <row r="38" spans="1:11">
      <c r="A38" s="45"/>
      <c r="B38" s="45"/>
      <c r="C38" s="45"/>
      <c r="D38" s="45"/>
      <c r="E38" s="45"/>
      <c r="F38" s="50" t="s">
        <v>688</v>
      </c>
      <c r="G38" s="45"/>
      <c r="H38" s="45"/>
      <c r="I38" s="45"/>
      <c r="J38" s="70">
        <f>J34-J36</f>
        <v>4592631.2216607686</v>
      </c>
      <c r="K38" s="45"/>
    </row>
    <row r="39" spans="1:11">
      <c r="A39" s="45"/>
      <c r="B39" s="45"/>
      <c r="C39" s="45"/>
      <c r="D39" s="45"/>
      <c r="E39" s="45"/>
      <c r="F39" s="45"/>
      <c r="G39" s="45"/>
      <c r="H39" s="45"/>
      <c r="I39" s="45"/>
      <c r="J39" s="45"/>
      <c r="K39" s="45"/>
    </row>
    <row r="40" spans="1:11">
      <c r="A40" s="45"/>
      <c r="B40" s="45" t="s">
        <v>689</v>
      </c>
      <c r="C40" s="45"/>
      <c r="D40" s="45"/>
      <c r="E40" s="45"/>
      <c r="F40" s="45"/>
      <c r="G40" s="45"/>
      <c r="H40" s="45"/>
      <c r="I40" s="45"/>
      <c r="J40" s="45"/>
      <c r="K40" s="45"/>
    </row>
    <row r="41" spans="1:11">
      <c r="A41" s="45" t="s">
        <v>667</v>
      </c>
      <c r="B41" s="45"/>
      <c r="C41" s="45"/>
      <c r="D41" s="45"/>
      <c r="E41" s="45"/>
      <c r="F41" s="45"/>
      <c r="G41" s="45"/>
      <c r="H41" s="45"/>
      <c r="I41" s="45"/>
      <c r="J41" s="45"/>
      <c r="K41" s="45"/>
    </row>
    <row r="42" spans="1:11">
      <c r="A42" s="45"/>
      <c r="B42" s="45"/>
      <c r="C42" s="45"/>
      <c r="D42" s="45"/>
      <c r="E42" s="45"/>
      <c r="F42" s="45"/>
      <c r="G42" s="45"/>
      <c r="H42" s="45"/>
      <c r="I42" s="45"/>
      <c r="J42" s="64"/>
      <c r="K42" s="45"/>
    </row>
  </sheetData>
  <mergeCells count="2">
    <mergeCell ref="A1:J1"/>
    <mergeCell ref="A2:J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C12"/>
  <sheetViews>
    <sheetView workbookViewId="0"/>
  </sheetViews>
  <sheetFormatPr defaultRowHeight="14.25"/>
  <cols>
    <col min="1" max="1" width="33" customWidth="1"/>
    <col min="2" max="2" width="10.125" customWidth="1"/>
    <col min="3" max="3" width="14.75" customWidth="1"/>
  </cols>
  <sheetData>
    <row r="1" spans="1:3">
      <c r="A1" t="s">
        <v>690</v>
      </c>
    </row>
    <row r="2" spans="1:3">
      <c r="A2" t="s">
        <v>691</v>
      </c>
    </row>
    <row r="3" spans="1:3">
      <c r="A3" t="s">
        <v>692</v>
      </c>
    </row>
    <row r="5" spans="1:3" ht="15">
      <c r="A5" s="74" t="s">
        <v>693</v>
      </c>
    </row>
    <row r="6" spans="1:3" ht="15">
      <c r="A6" s="74" t="s">
        <v>694</v>
      </c>
    </row>
    <row r="7" spans="1:3">
      <c r="B7" s="72" t="s">
        <v>695</v>
      </c>
    </row>
    <row r="8" spans="1:3">
      <c r="B8" s="72" t="s">
        <v>348</v>
      </c>
    </row>
    <row r="9" spans="1:3">
      <c r="B9" s="72"/>
    </row>
    <row r="10" spans="1:3">
      <c r="A10" t="s">
        <v>392</v>
      </c>
      <c r="B10" s="75">
        <v>16682.23</v>
      </c>
    </row>
    <row r="11" spans="1:3">
      <c r="B11" s="76"/>
    </row>
    <row r="12" spans="1:3">
      <c r="A12" s="77" t="s">
        <v>696</v>
      </c>
      <c r="B12" s="78">
        <f>SolEl_CS!H31</f>
        <v>715.44884219999994</v>
      </c>
      <c r="C12" s="79">
        <f>ROUND(B12/$B$10,4)</f>
        <v>4.2900000000000001E-2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A1:C17"/>
  <sheetViews>
    <sheetView workbookViewId="0"/>
  </sheetViews>
  <sheetFormatPr defaultRowHeight="14.25"/>
  <cols>
    <col min="1" max="1" width="27.5" customWidth="1"/>
    <col min="2" max="2" width="12.125" customWidth="1"/>
    <col min="3" max="3" width="14" customWidth="1"/>
  </cols>
  <sheetData>
    <row r="1" spans="1:3">
      <c r="A1" t="s">
        <v>690</v>
      </c>
    </row>
    <row r="2" spans="1:3">
      <c r="A2" t="s">
        <v>691</v>
      </c>
    </row>
    <row r="3" spans="1:3">
      <c r="A3" t="s">
        <v>697</v>
      </c>
    </row>
    <row r="5" spans="1:3" ht="15">
      <c r="A5" s="80" t="s">
        <v>698</v>
      </c>
    </row>
    <row r="6" spans="1:3">
      <c r="A6" t="s">
        <v>699</v>
      </c>
      <c r="B6" s="81">
        <v>62359080</v>
      </c>
      <c r="C6" t="s">
        <v>700</v>
      </c>
    </row>
    <row r="7" spans="1:3">
      <c r="B7" s="81"/>
    </row>
    <row r="8" spans="1:3" ht="15">
      <c r="A8" t="s">
        <v>701</v>
      </c>
      <c r="B8" s="82">
        <v>36959489</v>
      </c>
    </row>
    <row r="9" spans="1:3">
      <c r="B9" s="81"/>
    </row>
    <row r="10" spans="1:3">
      <c r="A10" t="s">
        <v>389</v>
      </c>
      <c r="B10" s="81">
        <f>B6-B8</f>
        <v>25399591</v>
      </c>
    </row>
    <row r="12" spans="1:3" ht="15">
      <c r="A12" t="s">
        <v>392</v>
      </c>
      <c r="B12" s="83">
        <v>16682.23</v>
      </c>
    </row>
    <row r="14" spans="1:3">
      <c r="A14" t="s">
        <v>702</v>
      </c>
      <c r="B14" s="84">
        <f>ROUND(B10/B12,2)</f>
        <v>1522.55</v>
      </c>
    </row>
    <row r="16" spans="1:3">
      <c r="B16" s="75"/>
    </row>
    <row r="17" spans="1:3">
      <c r="A17" s="77" t="s">
        <v>703</v>
      </c>
      <c r="B17" s="85">
        <f>'Percent of AADM'!B12</f>
        <v>715.44884219999994</v>
      </c>
      <c r="C17" s="86">
        <f>ROUND($B$14*B17,2)</f>
        <v>1089306.6299999999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E17"/>
  <sheetViews>
    <sheetView workbookViewId="0"/>
  </sheetViews>
  <sheetFormatPr defaultRowHeight="14.25"/>
  <cols>
    <col min="1" max="1" width="20.875" customWidth="1"/>
    <col min="2" max="2" width="12.5" customWidth="1"/>
    <col min="3" max="3" width="11.25" customWidth="1"/>
    <col min="4" max="4" width="14.5" customWidth="1"/>
    <col min="5" max="5" width="9.25" customWidth="1"/>
  </cols>
  <sheetData>
    <row r="1" spans="1:5">
      <c r="A1" t="s">
        <v>690</v>
      </c>
    </row>
    <row r="2" spans="1:5">
      <c r="A2" t="s">
        <v>691</v>
      </c>
    </row>
    <row r="3" spans="1:5">
      <c r="A3" t="s">
        <v>704</v>
      </c>
    </row>
    <row r="5" spans="1:5" ht="15">
      <c r="A5" s="87" t="s">
        <v>705</v>
      </c>
    </row>
    <row r="6" spans="1:5" ht="15">
      <c r="A6" s="87"/>
      <c r="B6" s="72" t="s">
        <v>706</v>
      </c>
      <c r="C6" s="72" t="s">
        <v>707</v>
      </c>
      <c r="D6" s="72" t="s">
        <v>707</v>
      </c>
    </row>
    <row r="7" spans="1:5" ht="15">
      <c r="A7" s="87"/>
      <c r="B7" s="88" t="s">
        <v>420</v>
      </c>
      <c r="C7" s="88" t="s">
        <v>373</v>
      </c>
      <c r="D7" s="88" t="s">
        <v>708</v>
      </c>
    </row>
    <row r="9" spans="1:5">
      <c r="A9" t="s">
        <v>406</v>
      </c>
      <c r="B9" s="81">
        <v>174162</v>
      </c>
      <c r="C9" s="132">
        <v>4.2900000000000001E-2</v>
      </c>
      <c r="D9" s="84">
        <f>B9*C9</f>
        <v>7471.5497999999998</v>
      </c>
      <c r="E9" s="84"/>
    </row>
    <row r="10" spans="1:5">
      <c r="A10" t="s">
        <v>408</v>
      </c>
      <c r="B10" s="81">
        <v>152687</v>
      </c>
      <c r="C10" s="132">
        <v>4.2900000000000001E-2</v>
      </c>
      <c r="D10" s="84">
        <f t="shared" ref="D10:D15" si="0">B10*C10</f>
        <v>6550.2723000000005</v>
      </c>
    </row>
    <row r="11" spans="1:5">
      <c r="A11" t="s">
        <v>410</v>
      </c>
      <c r="B11" s="81">
        <v>10126165</v>
      </c>
      <c r="C11" s="132">
        <f t="shared" ref="C11:C15" si="1">$C$9</f>
        <v>4.2900000000000001E-2</v>
      </c>
      <c r="D11" s="84">
        <f t="shared" si="0"/>
        <v>434412.47850000003</v>
      </c>
    </row>
    <row r="12" spans="1:5">
      <c r="A12" t="s">
        <v>412</v>
      </c>
      <c r="B12" s="81">
        <v>81600</v>
      </c>
      <c r="C12" s="132">
        <f t="shared" si="1"/>
        <v>4.2900000000000001E-2</v>
      </c>
      <c r="D12" s="84">
        <f t="shared" si="0"/>
        <v>3500.64</v>
      </c>
    </row>
    <row r="13" spans="1:5">
      <c r="A13" t="s">
        <v>414</v>
      </c>
      <c r="B13" s="81">
        <v>2124010</v>
      </c>
      <c r="C13" s="132">
        <f t="shared" si="1"/>
        <v>4.2900000000000001E-2</v>
      </c>
      <c r="D13" s="84">
        <f t="shared" si="0"/>
        <v>91120.028999999995</v>
      </c>
    </row>
    <row r="14" spans="1:5">
      <c r="A14" t="s">
        <v>416</v>
      </c>
      <c r="B14" s="81">
        <v>1862801</v>
      </c>
      <c r="C14" s="132">
        <f t="shared" si="1"/>
        <v>4.2900000000000001E-2</v>
      </c>
      <c r="D14" s="84">
        <f t="shared" si="0"/>
        <v>79914.162899999996</v>
      </c>
    </row>
    <row r="15" spans="1:5" ht="15">
      <c r="A15" t="s">
        <v>418</v>
      </c>
      <c r="B15" s="89">
        <f>1475266+361050+104773</f>
        <v>1941089</v>
      </c>
      <c r="C15" s="132">
        <f t="shared" si="1"/>
        <v>4.2900000000000001E-2</v>
      </c>
      <c r="D15" s="90">
        <f t="shared" si="0"/>
        <v>83272.718099999998</v>
      </c>
    </row>
    <row r="16" spans="1:5">
      <c r="B16" s="81"/>
    </row>
    <row r="17" spans="2:4">
      <c r="B17" s="81">
        <f>SUM(B9:B15)</f>
        <v>16462514</v>
      </c>
      <c r="D17" s="84">
        <f>SUM(D9:D15)</f>
        <v>706241.85060000001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A1:G24"/>
  <sheetViews>
    <sheetView workbookViewId="0"/>
  </sheetViews>
  <sheetFormatPr defaultColWidth="7.625" defaultRowHeight="14.25"/>
  <cols>
    <col min="1" max="1" width="29.875" customWidth="1"/>
    <col min="2" max="2" width="12.5" customWidth="1"/>
    <col min="3" max="3" width="11.75" customWidth="1"/>
    <col min="4" max="4" width="8.375" style="91" customWidth="1"/>
    <col min="5" max="5" width="11.75" customWidth="1"/>
    <col min="6" max="6" width="2.625" customWidth="1"/>
    <col min="7" max="7" width="13" customWidth="1"/>
  </cols>
  <sheetData>
    <row r="1" spans="1:7">
      <c r="A1" t="s">
        <v>690</v>
      </c>
    </row>
    <row r="2" spans="1:7">
      <c r="A2" t="s">
        <v>691</v>
      </c>
    </row>
    <row r="3" spans="1:7">
      <c r="A3" t="s">
        <v>709</v>
      </c>
    </row>
    <row r="4" spans="1:7">
      <c r="A4" t="s">
        <v>698</v>
      </c>
      <c r="D4" s="92"/>
    </row>
    <row r="6" spans="1:7">
      <c r="D6" s="92" t="s">
        <v>432</v>
      </c>
    </row>
    <row r="7" spans="1:7">
      <c r="B7" s="72" t="s">
        <v>710</v>
      </c>
      <c r="C7" s="72" t="s">
        <v>711</v>
      </c>
      <c r="D7" s="92" t="s">
        <v>712</v>
      </c>
      <c r="E7" s="93">
        <v>625</v>
      </c>
    </row>
    <row r="8" spans="1:7" ht="15">
      <c r="B8" s="88" t="s">
        <v>713</v>
      </c>
      <c r="C8" s="72" t="s">
        <v>714</v>
      </c>
      <c r="D8" s="92" t="s">
        <v>361</v>
      </c>
      <c r="E8" s="72" t="s">
        <v>715</v>
      </c>
      <c r="G8" s="72" t="s">
        <v>433</v>
      </c>
    </row>
    <row r="10" spans="1:7">
      <c r="A10" s="77" t="s">
        <v>716</v>
      </c>
      <c r="B10" s="94">
        <f>'Additional Allowable'!C17</f>
        <v>1089306.6299999999</v>
      </c>
      <c r="C10" s="95">
        <f>-'In-Kind Chargeable Costs'!D17</f>
        <v>-706241.85060000001</v>
      </c>
      <c r="D10" s="92">
        <f>SolEl_CS!H31</f>
        <v>715.44884219999994</v>
      </c>
      <c r="E10" s="94">
        <f>ROUND(D10*-625,0)</f>
        <v>-447156</v>
      </c>
      <c r="F10" s="84"/>
      <c r="G10" s="96">
        <f>SUM(B10,C10,E10)</f>
        <v>-64091.220600000117</v>
      </c>
    </row>
    <row r="16" spans="1:7">
      <c r="D16" s="92"/>
    </row>
    <row r="17" spans="1:7">
      <c r="B17" s="72"/>
      <c r="C17" s="72"/>
      <c r="D17" s="92"/>
      <c r="E17" s="93"/>
    </row>
    <row r="18" spans="1:7" ht="15">
      <c r="B18" s="88"/>
      <c r="C18" s="72"/>
      <c r="D18" s="92"/>
      <c r="E18" s="72"/>
      <c r="G18" s="72"/>
    </row>
    <row r="20" spans="1:7">
      <c r="A20" s="77"/>
      <c r="B20" s="94"/>
      <c r="C20" s="95"/>
      <c r="D20" s="92"/>
      <c r="E20" s="94"/>
      <c r="F20" s="84"/>
      <c r="G20" s="96"/>
    </row>
    <row r="21" spans="1:7">
      <c r="A21" s="77"/>
      <c r="B21" s="94"/>
      <c r="C21" s="95"/>
      <c r="D21" s="92"/>
      <c r="E21" s="94"/>
      <c r="F21" s="84"/>
      <c r="G21" s="96"/>
    </row>
    <row r="22" spans="1:7">
      <c r="A22" s="77"/>
      <c r="B22" s="94"/>
      <c r="C22" s="95"/>
      <c r="D22" s="92"/>
      <c r="E22" s="94"/>
      <c r="F22" s="84"/>
      <c r="G22" s="96"/>
    </row>
    <row r="23" spans="1:7" ht="15">
      <c r="A23" s="77"/>
      <c r="B23" s="97"/>
      <c r="C23" s="98"/>
      <c r="D23" s="99"/>
      <c r="E23" s="94"/>
      <c r="F23" s="90"/>
      <c r="G23" s="100"/>
    </row>
    <row r="24" spans="1:7">
      <c r="B24" s="96"/>
      <c r="C24" s="96"/>
      <c r="E24" s="96"/>
      <c r="G24" s="9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3:B11"/>
  <sheetViews>
    <sheetView workbookViewId="0"/>
  </sheetViews>
  <sheetFormatPr defaultRowHeight="14.25"/>
  <cols>
    <col min="1" max="1" width="28.25" customWidth="1"/>
    <col min="2" max="2" width="16.125" customWidth="1"/>
  </cols>
  <sheetData>
    <row r="3" spans="1:2">
      <c r="A3" t="s">
        <v>717</v>
      </c>
      <c r="B3" s="77"/>
    </row>
    <row r="4" spans="1:2">
      <c r="A4" t="s">
        <v>667</v>
      </c>
      <c r="B4" s="101" t="s">
        <v>718</v>
      </c>
    </row>
    <row r="5" spans="1:2">
      <c r="A5" t="s">
        <v>719</v>
      </c>
      <c r="B5" s="102">
        <v>4764889.2890519993</v>
      </c>
    </row>
    <row r="6" spans="1:2">
      <c r="A6" t="s">
        <v>720</v>
      </c>
      <c r="B6" s="102">
        <v>11447.181475199999</v>
      </c>
    </row>
    <row r="7" spans="1:2">
      <c r="A7" t="s">
        <v>721</v>
      </c>
      <c r="B7" s="103">
        <v>1089306.6299999999</v>
      </c>
    </row>
    <row r="8" spans="1:2">
      <c r="A8" t="s">
        <v>78</v>
      </c>
      <c r="B8" s="104">
        <f>SUM(B5:B7)</f>
        <v>5865643.100527199</v>
      </c>
    </row>
    <row r="10" spans="1:2">
      <c r="B10" s="102"/>
    </row>
    <row r="11" spans="1:2">
      <c r="B11" s="102"/>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8"/>
  <sheetViews>
    <sheetView workbookViewId="0"/>
  </sheetViews>
  <sheetFormatPr defaultRowHeight="14.25"/>
  <cols>
    <col min="1" max="1" width="14" customWidth="1"/>
    <col min="2" max="3" width="28" customWidth="1"/>
    <col min="4" max="4" width="20" customWidth="1"/>
    <col min="5" max="5" width="34" customWidth="1"/>
    <col min="6" max="6" width="22" customWidth="1"/>
    <col min="7" max="7" width="48" customWidth="1"/>
    <col min="8" max="8" width="34" customWidth="1"/>
    <col min="9" max="9" width="12" customWidth="1"/>
  </cols>
  <sheetData>
    <row r="1" spans="1:9" ht="27.95" customHeight="1">
      <c r="A1" s="155" t="s">
        <v>722</v>
      </c>
      <c r="B1" s="155"/>
      <c r="C1" s="155"/>
      <c r="D1" s="155"/>
      <c r="E1" s="155"/>
      <c r="F1" s="155"/>
      <c r="G1" s="155"/>
      <c r="H1" s="155"/>
      <c r="I1" s="155"/>
    </row>
    <row r="2" spans="1:9" ht="54" customHeight="1">
      <c r="A2" s="156" t="s">
        <v>723</v>
      </c>
      <c r="B2" s="156"/>
      <c r="C2" s="156"/>
      <c r="D2" s="156"/>
      <c r="E2" s="156"/>
      <c r="F2" s="156"/>
      <c r="G2" s="156"/>
      <c r="H2" s="156"/>
      <c r="I2" s="156"/>
    </row>
    <row r="4" spans="1:9" ht="15">
      <c r="A4" s="154" t="s">
        <v>724</v>
      </c>
      <c r="B4" s="154"/>
      <c r="C4" s="154"/>
      <c r="D4" s="154"/>
      <c r="E4" s="154"/>
      <c r="F4" s="154"/>
      <c r="G4" s="154"/>
      <c r="H4" s="154"/>
      <c r="I4" s="154"/>
    </row>
    <row r="5" spans="1:9" ht="56.1" customHeight="1">
      <c r="A5" s="110" t="s">
        <v>725</v>
      </c>
      <c r="B5" s="110" t="s">
        <v>726</v>
      </c>
      <c r="C5" s="110" t="s">
        <v>727</v>
      </c>
      <c r="D5" s="110" t="s">
        <v>728</v>
      </c>
      <c r="E5" s="110" t="s">
        <v>729</v>
      </c>
      <c r="F5" s="110" t="s">
        <v>730</v>
      </c>
      <c r="G5" s="110" t="s">
        <v>731</v>
      </c>
      <c r="H5" s="110" t="s">
        <v>732</v>
      </c>
      <c r="I5" s="110" t="s">
        <v>63</v>
      </c>
    </row>
    <row r="6" spans="1:9" ht="56.1" customHeight="1">
      <c r="A6" s="111" t="s">
        <v>733</v>
      </c>
      <c r="B6" s="111" t="s">
        <v>734</v>
      </c>
      <c r="C6" s="111" t="s">
        <v>735</v>
      </c>
      <c r="D6" s="112" t="s">
        <v>736</v>
      </c>
      <c r="E6" s="111" t="s">
        <v>737</v>
      </c>
      <c r="F6" s="111" t="s">
        <v>738</v>
      </c>
      <c r="G6" s="111" t="s">
        <v>623</v>
      </c>
      <c r="H6" s="111" t="s">
        <v>739</v>
      </c>
      <c r="I6" s="111" t="s">
        <v>740</v>
      </c>
    </row>
    <row r="7" spans="1:9" ht="56.1" customHeight="1">
      <c r="A7" s="111" t="s">
        <v>618</v>
      </c>
      <c r="B7" s="111" t="s">
        <v>741</v>
      </c>
      <c r="C7" s="111" t="s">
        <v>742</v>
      </c>
      <c r="D7" s="112" t="s">
        <v>743</v>
      </c>
      <c r="E7" s="111" t="s">
        <v>744</v>
      </c>
      <c r="F7" s="111" t="s">
        <v>615</v>
      </c>
      <c r="G7" s="111" t="s">
        <v>616</v>
      </c>
      <c r="H7" s="111" t="s">
        <v>745</v>
      </c>
      <c r="I7" s="111" t="s">
        <v>746</v>
      </c>
    </row>
    <row r="8" spans="1:9" ht="56.1" customHeight="1">
      <c r="A8" s="111" t="s">
        <v>747</v>
      </c>
      <c r="B8" s="111" t="s">
        <v>748</v>
      </c>
      <c r="C8" s="111" t="s">
        <v>749</v>
      </c>
      <c r="D8" s="112" t="s">
        <v>750</v>
      </c>
      <c r="E8" s="111" t="s">
        <v>751</v>
      </c>
      <c r="F8" s="111" t="s">
        <v>752</v>
      </c>
      <c r="G8" s="111" t="s">
        <v>753</v>
      </c>
      <c r="H8" s="111" t="s">
        <v>754</v>
      </c>
      <c r="I8" s="111" t="s">
        <v>755</v>
      </c>
    </row>
    <row r="9" spans="1:9" ht="56.1" customHeight="1">
      <c r="A9" s="111" t="s">
        <v>756</v>
      </c>
      <c r="B9" s="111" t="s">
        <v>757</v>
      </c>
      <c r="C9" s="111" t="s">
        <v>758</v>
      </c>
      <c r="D9" s="112" t="s">
        <v>759</v>
      </c>
      <c r="E9" s="111" t="s">
        <v>760</v>
      </c>
      <c r="F9" s="111" t="s">
        <v>761</v>
      </c>
      <c r="G9" s="111" t="s">
        <v>762</v>
      </c>
      <c r="H9" s="111" t="s">
        <v>763</v>
      </c>
      <c r="I9" s="111" t="s">
        <v>764</v>
      </c>
    </row>
    <row r="10" spans="1:9" ht="56.1" customHeight="1">
      <c r="A10" s="111" t="s">
        <v>765</v>
      </c>
      <c r="B10" s="111" t="s">
        <v>766</v>
      </c>
      <c r="C10" s="111" t="s">
        <v>767</v>
      </c>
      <c r="D10" s="112" t="s">
        <v>768</v>
      </c>
      <c r="E10" s="111" t="s">
        <v>769</v>
      </c>
      <c r="F10" s="111" t="s">
        <v>770</v>
      </c>
      <c r="G10" s="111" t="s">
        <v>771</v>
      </c>
      <c r="H10" s="111" t="s">
        <v>772</v>
      </c>
      <c r="I10" s="111" t="s">
        <v>773</v>
      </c>
    </row>
    <row r="11" spans="1:9" ht="56.1" customHeight="1">
      <c r="A11" s="111" t="s">
        <v>774</v>
      </c>
      <c r="B11" s="111" t="s">
        <v>766</v>
      </c>
      <c r="C11" s="111" t="s">
        <v>767</v>
      </c>
      <c r="D11" s="112" t="s">
        <v>775</v>
      </c>
      <c r="E11" s="111" t="s">
        <v>776</v>
      </c>
      <c r="F11" s="111" t="s">
        <v>770</v>
      </c>
      <c r="G11" s="111" t="s">
        <v>777</v>
      </c>
      <c r="H11" s="111" t="s">
        <v>772</v>
      </c>
      <c r="I11" s="111" t="s">
        <v>778</v>
      </c>
    </row>
    <row r="12" spans="1:9" ht="56.1" customHeight="1">
      <c r="A12" s="111" t="s">
        <v>779</v>
      </c>
      <c r="B12" s="111" t="s">
        <v>780</v>
      </c>
      <c r="C12" s="111" t="s">
        <v>781</v>
      </c>
      <c r="D12" s="112" t="s">
        <v>759</v>
      </c>
      <c r="E12" s="111" t="s">
        <v>782</v>
      </c>
      <c r="F12" s="111" t="s">
        <v>628</v>
      </c>
      <c r="G12" s="111" t="s">
        <v>629</v>
      </c>
      <c r="H12" s="111" t="s">
        <v>783</v>
      </c>
      <c r="I12" s="111" t="s">
        <v>784</v>
      </c>
    </row>
    <row r="13" spans="1:9" ht="56.1" customHeight="1">
      <c r="A13" s="111" t="s">
        <v>785</v>
      </c>
      <c r="B13" s="111" t="s">
        <v>766</v>
      </c>
      <c r="C13" s="111" t="s">
        <v>767</v>
      </c>
      <c r="D13" s="112" t="s">
        <v>759</v>
      </c>
      <c r="E13" s="111" t="s">
        <v>786</v>
      </c>
      <c r="F13" s="111" t="s">
        <v>770</v>
      </c>
      <c r="G13" s="111" t="s">
        <v>787</v>
      </c>
      <c r="H13" s="111" t="s">
        <v>788</v>
      </c>
      <c r="I13" s="111" t="s">
        <v>789</v>
      </c>
    </row>
    <row r="14" spans="1:9" ht="56.1" customHeight="1">
      <c r="A14" s="111" t="s">
        <v>611</v>
      </c>
      <c r="B14" s="111" t="s">
        <v>766</v>
      </c>
      <c r="C14" s="111" t="s">
        <v>767</v>
      </c>
      <c r="D14" s="112" t="s">
        <v>790</v>
      </c>
      <c r="E14" s="111" t="s">
        <v>791</v>
      </c>
      <c r="F14" s="111" t="s">
        <v>770</v>
      </c>
      <c r="G14" s="111" t="s">
        <v>609</v>
      </c>
      <c r="H14" s="111" t="s">
        <v>772</v>
      </c>
      <c r="I14" s="111" t="s">
        <v>792</v>
      </c>
    </row>
    <row r="15" spans="1:9" ht="56.1" customHeight="1">
      <c r="A15" s="111" t="s">
        <v>793</v>
      </c>
      <c r="B15" s="111" t="s">
        <v>794</v>
      </c>
      <c r="C15" s="111" t="s">
        <v>795</v>
      </c>
      <c r="D15" s="112" t="s">
        <v>759</v>
      </c>
      <c r="E15" s="111" t="s">
        <v>796</v>
      </c>
      <c r="F15" s="111" t="s">
        <v>797</v>
      </c>
      <c r="G15" s="111" t="s">
        <v>798</v>
      </c>
      <c r="H15" s="111" t="s">
        <v>799</v>
      </c>
      <c r="I15" s="111" t="s">
        <v>800</v>
      </c>
    </row>
    <row r="18" spans="1:9" ht="15">
      <c r="A18" s="154" t="s">
        <v>801</v>
      </c>
      <c r="B18" s="154"/>
      <c r="C18" s="154"/>
      <c r="D18" s="154"/>
      <c r="E18" s="154"/>
      <c r="F18" s="154"/>
      <c r="G18" s="154"/>
      <c r="H18" s="154"/>
      <c r="I18" s="154"/>
    </row>
    <row r="19" spans="1:9" ht="27.95" customHeight="1">
      <c r="A19" s="109" t="s">
        <v>802</v>
      </c>
      <c r="B19" s="109" t="s">
        <v>803</v>
      </c>
      <c r="C19" s="109" t="s">
        <v>804</v>
      </c>
      <c r="D19" s="109" t="s">
        <v>805</v>
      </c>
      <c r="E19" s="109" t="s">
        <v>806</v>
      </c>
      <c r="F19" s="109" t="s">
        <v>807</v>
      </c>
      <c r="G19" s="109" t="s">
        <v>808</v>
      </c>
      <c r="H19" s="109" t="s">
        <v>809</v>
      </c>
      <c r="I19" s="109" t="s">
        <v>150</v>
      </c>
    </row>
    <row r="20" spans="1:9" ht="27.95" customHeight="1">
      <c r="A20" t="s">
        <v>810</v>
      </c>
      <c r="B20" s="113">
        <v>1449422</v>
      </c>
      <c r="C20" s="113">
        <v>22498</v>
      </c>
      <c r="D20" s="113">
        <v>603750</v>
      </c>
      <c r="E20" s="113">
        <v>0</v>
      </c>
      <c r="F20" s="113">
        <v>72615</v>
      </c>
      <c r="G20" s="113">
        <v>422303</v>
      </c>
      <c r="H20" s="113">
        <v>2570588</v>
      </c>
      <c r="I20" t="s">
        <v>811</v>
      </c>
    </row>
    <row r="21" spans="1:9" ht="27.95" customHeight="1">
      <c r="A21" t="s">
        <v>812</v>
      </c>
      <c r="B21" s="113">
        <v>2365340</v>
      </c>
      <c r="C21" s="113">
        <v>62213</v>
      </c>
      <c r="D21" s="113">
        <v>684065</v>
      </c>
      <c r="E21" s="113">
        <v>273777</v>
      </c>
      <c r="F21" s="113">
        <v>76063</v>
      </c>
      <c r="G21" s="113">
        <v>312381</v>
      </c>
      <c r="H21" s="113">
        <v>3773839</v>
      </c>
      <c r="I21" t="s">
        <v>813</v>
      </c>
    </row>
    <row r="22" spans="1:9" ht="27.95" customHeight="1">
      <c r="A22" t="s">
        <v>814</v>
      </c>
      <c r="B22" s="113">
        <v>2723022</v>
      </c>
      <c r="C22" s="113">
        <v>29122</v>
      </c>
      <c r="D22" s="113">
        <v>380052</v>
      </c>
      <c r="E22" s="113">
        <v>297307</v>
      </c>
      <c r="F22" s="113">
        <v>183005</v>
      </c>
      <c r="G22" s="113">
        <v>206633</v>
      </c>
      <c r="H22" s="113">
        <v>3819141</v>
      </c>
      <c r="I22" t="s">
        <v>815</v>
      </c>
    </row>
    <row r="23" spans="1:9" ht="27.95" customHeight="1">
      <c r="A23" t="s">
        <v>816</v>
      </c>
      <c r="B23" s="113">
        <v>1575217</v>
      </c>
      <c r="C23" s="113">
        <v>23600</v>
      </c>
      <c r="D23" s="113">
        <v>437454</v>
      </c>
      <c r="E23" s="113">
        <v>352778</v>
      </c>
      <c r="F23" s="113">
        <v>107515</v>
      </c>
      <c r="G23" s="113">
        <v>273179</v>
      </c>
      <c r="H23" s="113">
        <v>2769743</v>
      </c>
      <c r="I23" t="s">
        <v>817</v>
      </c>
    </row>
    <row r="25" spans="1:9" ht="15">
      <c r="A25" s="157" t="s">
        <v>818</v>
      </c>
      <c r="B25" s="158"/>
      <c r="C25" s="158"/>
      <c r="D25" s="158"/>
      <c r="E25" s="158"/>
      <c r="F25" s="158"/>
      <c r="G25" s="158"/>
      <c r="H25" s="158"/>
      <c r="I25" s="158"/>
    </row>
    <row r="26" spans="1:9">
      <c r="A26" t="s">
        <v>810</v>
      </c>
      <c r="B26" s="114" t="s">
        <v>819</v>
      </c>
    </row>
    <row r="27" spans="1:9">
      <c r="A27" t="s">
        <v>812</v>
      </c>
      <c r="B27" s="114" t="s">
        <v>820</v>
      </c>
    </row>
    <row r="28" spans="1:9">
      <c r="A28" t="s">
        <v>814</v>
      </c>
      <c r="B28" s="114" t="s">
        <v>821</v>
      </c>
    </row>
    <row r="29" spans="1:9">
      <c r="A29" t="s">
        <v>816</v>
      </c>
      <c r="B29" s="114" t="s">
        <v>822</v>
      </c>
    </row>
    <row r="31" spans="1:9" ht="15">
      <c r="A31" s="154" t="s">
        <v>823</v>
      </c>
      <c r="B31" s="154"/>
      <c r="C31" s="154"/>
      <c r="D31" s="154"/>
      <c r="E31" s="154"/>
      <c r="F31" s="154"/>
      <c r="G31" s="154"/>
      <c r="H31" s="154"/>
      <c r="I31" s="154"/>
    </row>
    <row r="32" spans="1:9" ht="48" customHeight="1">
      <c r="A32" s="109" t="s">
        <v>129</v>
      </c>
      <c r="B32" s="109" t="s">
        <v>824</v>
      </c>
      <c r="C32" s="109" t="s">
        <v>825</v>
      </c>
      <c r="D32" s="109" t="s">
        <v>150</v>
      </c>
    </row>
    <row r="33" spans="1:4" ht="48" customHeight="1">
      <c r="A33" s="111" t="s">
        <v>826</v>
      </c>
      <c r="B33" s="116">
        <v>0</v>
      </c>
      <c r="C33" s="111" t="s">
        <v>827</v>
      </c>
      <c r="D33" s="111" t="s">
        <v>828</v>
      </c>
    </row>
    <row r="34" spans="1:4" ht="48" customHeight="1">
      <c r="A34" s="111" t="s">
        <v>829</v>
      </c>
      <c r="B34" s="111" t="s">
        <v>830</v>
      </c>
      <c r="C34" s="111" t="s">
        <v>831</v>
      </c>
      <c r="D34" s="111" t="s">
        <v>832</v>
      </c>
    </row>
    <row r="35" spans="1:4" ht="48" customHeight="1">
      <c r="A35" s="111" t="s">
        <v>833</v>
      </c>
      <c r="B35" s="111" t="s">
        <v>834</v>
      </c>
      <c r="C35" s="111" t="s">
        <v>835</v>
      </c>
      <c r="D35" s="111" t="s">
        <v>836</v>
      </c>
    </row>
    <row r="36" spans="1:4" ht="48" customHeight="1">
      <c r="A36" s="111" t="s">
        <v>837</v>
      </c>
      <c r="B36" s="111" t="s">
        <v>838</v>
      </c>
      <c r="C36" s="111" t="s">
        <v>839</v>
      </c>
      <c r="D36" s="111" t="s">
        <v>840</v>
      </c>
    </row>
    <row r="38" spans="1:4">
      <c r="A38" t="s">
        <v>841</v>
      </c>
      <c r="B38" s="114" t="s">
        <v>636</v>
      </c>
      <c r="D38" t="s">
        <v>842</v>
      </c>
    </row>
  </sheetData>
  <mergeCells count="6">
    <mergeCell ref="A31:I31"/>
    <mergeCell ref="A1:I1"/>
    <mergeCell ref="A2:I2"/>
    <mergeCell ref="A4:I4"/>
    <mergeCell ref="A18:I18"/>
    <mergeCell ref="A25:I2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50"/>
  <sheetViews>
    <sheetView workbookViewId="0"/>
  </sheetViews>
  <sheetFormatPr defaultRowHeight="14.25"/>
  <cols>
    <col min="1" max="1" width="36.25" customWidth="1"/>
    <col min="2" max="2" width="27" customWidth="1"/>
    <col min="3" max="3" width="46.5" customWidth="1"/>
    <col min="4" max="4" width="29.5" customWidth="1"/>
    <col min="5" max="6" width="18" customWidth="1"/>
    <col min="7" max="7" width="34.5" customWidth="1"/>
    <col min="8" max="8" width="30" customWidth="1"/>
    <col min="9" max="10" width="34" customWidth="1"/>
    <col min="12" max="12" width="24" customWidth="1"/>
    <col min="13" max="13" width="18" customWidth="1"/>
    <col min="14" max="18" width="16" customWidth="1"/>
  </cols>
  <sheetData>
    <row r="1" spans="1:10" ht="19.5">
      <c r="A1" s="160" t="s">
        <v>843</v>
      </c>
      <c r="B1" s="160"/>
      <c r="C1" s="160"/>
      <c r="D1" s="160"/>
      <c r="E1" s="160"/>
      <c r="F1" s="160"/>
      <c r="G1" s="160"/>
      <c r="H1" s="160"/>
      <c r="I1" s="160"/>
      <c r="J1" s="160"/>
    </row>
    <row r="2" spans="1:10">
      <c r="A2" s="161" t="s">
        <v>844</v>
      </c>
      <c r="B2" s="161"/>
      <c r="C2" s="161"/>
      <c r="D2" s="161"/>
      <c r="E2" s="161"/>
      <c r="F2" s="161"/>
      <c r="G2" s="161"/>
      <c r="H2" s="161"/>
      <c r="I2" s="161"/>
      <c r="J2" s="161"/>
    </row>
    <row r="4" spans="1:10" ht="15">
      <c r="A4" s="159" t="s">
        <v>845</v>
      </c>
      <c r="B4" s="159"/>
      <c r="C4" s="159"/>
      <c r="D4" s="159"/>
      <c r="E4" s="159"/>
    </row>
    <row r="5" spans="1:10" ht="15">
      <c r="A5" s="122" t="s">
        <v>846</v>
      </c>
      <c r="B5" s="122" t="s">
        <v>4</v>
      </c>
      <c r="C5" s="122" t="s">
        <v>149</v>
      </c>
      <c r="D5" s="122" t="s">
        <v>150</v>
      </c>
      <c r="E5" s="122" t="s">
        <v>6</v>
      </c>
      <c r="H5" s="121" t="s">
        <v>847</v>
      </c>
      <c r="I5" s="121" t="s">
        <v>848</v>
      </c>
    </row>
    <row r="6" spans="1:10">
      <c r="A6" s="111" t="s">
        <v>7</v>
      </c>
      <c r="B6" s="124">
        <f>'FY28 Budget Model'!B32</f>
        <v>290</v>
      </c>
      <c r="C6" s="111" t="s">
        <v>849</v>
      </c>
      <c r="D6" s="111" t="s">
        <v>850</v>
      </c>
      <c r="E6" s="111" t="s">
        <v>20</v>
      </c>
      <c r="H6" t="s">
        <v>851</v>
      </c>
      <c r="I6" s="123">
        <f>F20</f>
        <v>5832.0599999999995</v>
      </c>
    </row>
    <row r="7" spans="1:10">
      <c r="A7" s="111" t="s">
        <v>152</v>
      </c>
      <c r="B7" s="125">
        <f>'Staffing Plan'!B6</f>
        <v>87307</v>
      </c>
      <c r="C7" s="111" t="s">
        <v>852</v>
      </c>
      <c r="D7" s="111" t="s">
        <v>853</v>
      </c>
      <c r="E7" s="111" t="s">
        <v>854</v>
      </c>
      <c r="H7" t="s">
        <v>855</v>
      </c>
      <c r="I7" s="123">
        <f>F21</f>
        <v>18157.874468085105</v>
      </c>
    </row>
    <row r="8" spans="1:10">
      <c r="A8" s="111" t="s">
        <v>856</v>
      </c>
      <c r="B8" s="126">
        <v>188</v>
      </c>
      <c r="C8" s="111" t="s">
        <v>857</v>
      </c>
      <c r="D8" s="111" t="s">
        <v>858</v>
      </c>
      <c r="E8" s="111" t="s">
        <v>20</v>
      </c>
      <c r="H8" t="s">
        <v>859</v>
      </c>
      <c r="I8" s="123">
        <f>F22</f>
        <v>37095.992553191492</v>
      </c>
    </row>
    <row r="9" spans="1:10" ht="28.5">
      <c r="A9" s="111" t="s">
        <v>860</v>
      </c>
      <c r="B9" s="126">
        <v>7.5</v>
      </c>
      <c r="C9" s="111" t="s">
        <v>861</v>
      </c>
      <c r="D9" s="111" t="s">
        <v>862</v>
      </c>
      <c r="E9" s="111" t="s">
        <v>148</v>
      </c>
      <c r="H9" t="s">
        <v>863</v>
      </c>
      <c r="I9" s="123">
        <f>G27</f>
        <v>72647.929712107813</v>
      </c>
    </row>
    <row r="10" spans="1:10">
      <c r="A10" s="111" t="s">
        <v>864</v>
      </c>
      <c r="B10" s="127">
        <f>B7/B8/B9</f>
        <v>61.919858156028369</v>
      </c>
      <c r="C10" s="111" t="s">
        <v>865</v>
      </c>
      <c r="D10" s="111" t="s">
        <v>17</v>
      </c>
      <c r="E10" s="111" t="s">
        <v>9</v>
      </c>
      <c r="H10" t="s">
        <v>866</v>
      </c>
      <c r="I10" s="123">
        <f>G28</f>
        <v>145295.85942421563</v>
      </c>
    </row>
    <row r="11" spans="1:10">
      <c r="A11" s="111" t="s">
        <v>182</v>
      </c>
      <c r="B11" s="128">
        <f>'Staffing Plan'!B14</f>
        <v>0.60692566946769022</v>
      </c>
      <c r="C11" s="111" t="s">
        <v>867</v>
      </c>
      <c r="D11" s="111" t="s">
        <v>868</v>
      </c>
      <c r="E11" s="111" t="s">
        <v>869</v>
      </c>
      <c r="H11" t="s">
        <v>870</v>
      </c>
      <c r="I11" s="123">
        <f>G29</f>
        <v>89054.083451333747</v>
      </c>
    </row>
    <row r="12" spans="1:10" ht="28.5">
      <c r="A12" s="111" t="s">
        <v>871</v>
      </c>
      <c r="B12" s="127">
        <f>'KPESA FY28 Salary'!G29</f>
        <v>33.47</v>
      </c>
      <c r="C12" s="111" t="s">
        <v>872</v>
      </c>
      <c r="D12" s="111" t="s">
        <v>873</v>
      </c>
      <c r="E12" s="111" t="s">
        <v>869</v>
      </c>
    </row>
    <row r="13" spans="1:10">
      <c r="A13" s="111" t="s">
        <v>874</v>
      </c>
      <c r="B13" s="124">
        <f>'Staffing Plan'!B12</f>
        <v>1600</v>
      </c>
      <c r="C13" s="111" t="s">
        <v>875</v>
      </c>
      <c r="D13" s="111" t="s">
        <v>99</v>
      </c>
      <c r="E13" s="111" t="s">
        <v>148</v>
      </c>
    </row>
    <row r="14" spans="1:10">
      <c r="A14" s="111" t="s">
        <v>876</v>
      </c>
      <c r="B14" s="129">
        <v>420.09</v>
      </c>
      <c r="C14" s="111" t="s">
        <v>877</v>
      </c>
      <c r="D14" s="111" t="s">
        <v>878</v>
      </c>
      <c r="E14" s="111" t="s">
        <v>20</v>
      </c>
    </row>
    <row r="15" spans="1:10">
      <c r="A15" s="111" t="s">
        <v>879</v>
      </c>
      <c r="B15" s="129">
        <v>523.92999999999995</v>
      </c>
      <c r="C15" s="111" t="s">
        <v>877</v>
      </c>
      <c r="D15" s="111" t="s">
        <v>878</v>
      </c>
      <c r="E15" s="111" t="s">
        <v>20</v>
      </c>
    </row>
    <row r="16" spans="1:10">
      <c r="A16" s="111" t="s">
        <v>880</v>
      </c>
      <c r="B16" s="125">
        <f>'FY28 Budget Model'!B13</f>
        <v>4528540.4746857686</v>
      </c>
      <c r="C16" s="111" t="s">
        <v>881</v>
      </c>
      <c r="D16" s="111" t="s">
        <v>850</v>
      </c>
      <c r="E16" s="111" t="s">
        <v>17</v>
      </c>
    </row>
    <row r="18" spans="1:10" ht="15">
      <c r="A18" s="159" t="s">
        <v>882</v>
      </c>
      <c r="B18" s="159"/>
      <c r="C18" s="159"/>
      <c r="D18" s="159"/>
      <c r="E18" s="159"/>
      <c r="F18" s="159"/>
      <c r="G18" s="159"/>
      <c r="H18" s="159"/>
      <c r="I18" s="159"/>
      <c r="J18" s="159"/>
    </row>
    <row r="19" spans="1:10" ht="30">
      <c r="A19" s="122" t="s">
        <v>847</v>
      </c>
      <c r="B19" s="122" t="s">
        <v>883</v>
      </c>
      <c r="C19" s="122" t="s">
        <v>884</v>
      </c>
      <c r="D19" s="122" t="s">
        <v>885</v>
      </c>
      <c r="E19" s="122" t="s">
        <v>886</v>
      </c>
      <c r="F19" s="122" t="s">
        <v>887</v>
      </c>
      <c r="G19" s="122" t="s">
        <v>97</v>
      </c>
      <c r="H19" s="122" t="s">
        <v>888</v>
      </c>
      <c r="I19" s="122" t="s">
        <v>889</v>
      </c>
      <c r="J19" s="122" t="s">
        <v>890</v>
      </c>
    </row>
    <row r="20" spans="1:10" ht="57">
      <c r="A20" s="111" t="s">
        <v>891</v>
      </c>
      <c r="B20" s="111" t="s">
        <v>892</v>
      </c>
      <c r="C20" s="111" t="s">
        <v>893</v>
      </c>
      <c r="D20" s="115">
        <f>6*AVERAGE($B$14:$B$15)</f>
        <v>2832.06</v>
      </c>
      <c r="E20" s="130">
        <v>3000</v>
      </c>
      <c r="F20" s="115">
        <f>D20+E20</f>
        <v>5832.0599999999995</v>
      </c>
      <c r="G20" s="128">
        <f>F20/$B$16</f>
        <v>1.2878453957960222E-3</v>
      </c>
      <c r="H20" s="111" t="s">
        <v>894</v>
      </c>
      <c r="I20" s="111" t="s">
        <v>895</v>
      </c>
      <c r="J20" s="111" t="s">
        <v>896</v>
      </c>
    </row>
    <row r="21" spans="1:10" ht="57">
      <c r="A21" s="111" t="s">
        <v>897</v>
      </c>
      <c r="B21" s="111" t="s">
        <v>898</v>
      </c>
      <c r="C21" s="111" t="s">
        <v>899</v>
      </c>
      <c r="D21" s="115">
        <f>(2*2*1.5*30*$B$10)+(1*2*1.5*30*$B$12)</f>
        <v>14157.874468085105</v>
      </c>
      <c r="E21" s="130">
        <v>4000</v>
      </c>
      <c r="F21" s="115">
        <f>D21+E21</f>
        <v>18157.874468085105</v>
      </c>
      <c r="G21" s="128">
        <f>F21/$B$16</f>
        <v>4.0096526838142178E-3</v>
      </c>
      <c r="H21" s="111" t="s">
        <v>900</v>
      </c>
      <c r="I21" s="111" t="s">
        <v>901</v>
      </c>
      <c r="J21" s="111" t="s">
        <v>902</v>
      </c>
    </row>
    <row r="22" spans="1:10" ht="57">
      <c r="A22" s="111" t="s">
        <v>903</v>
      </c>
      <c r="B22" s="111" t="s">
        <v>904</v>
      </c>
      <c r="C22" s="111" t="s">
        <v>905</v>
      </c>
      <c r="D22" s="115">
        <f>(3*3*1.5*30*$B$10)+(1*3*1.5*30*$B$12)</f>
        <v>29595.992553191489</v>
      </c>
      <c r="E22" s="130">
        <v>7500</v>
      </c>
      <c r="F22" s="115">
        <f>D22+E22</f>
        <v>37095.992553191492</v>
      </c>
      <c r="G22" s="128">
        <f>F22/$B$16</f>
        <v>8.1916000884955219E-3</v>
      </c>
      <c r="H22" s="111" t="s">
        <v>906</v>
      </c>
      <c r="I22" s="111" t="s">
        <v>907</v>
      </c>
      <c r="J22" s="111" t="s">
        <v>908</v>
      </c>
    </row>
    <row r="23" spans="1:10" ht="57">
      <c r="A23" s="111" t="s">
        <v>909</v>
      </c>
      <c r="B23" s="111" t="s">
        <v>910</v>
      </c>
      <c r="C23" s="111" t="s">
        <v>911</v>
      </c>
      <c r="D23" s="111" t="s">
        <v>140</v>
      </c>
      <c r="E23" s="111" t="s">
        <v>140</v>
      </c>
      <c r="F23" s="111" t="s">
        <v>140</v>
      </c>
      <c r="G23" s="111" t="s">
        <v>140</v>
      </c>
      <c r="H23" s="111" t="s">
        <v>912</v>
      </c>
      <c r="I23" s="111" t="s">
        <v>913</v>
      </c>
      <c r="J23" s="111" t="s">
        <v>914</v>
      </c>
    </row>
    <row r="25" spans="1:10" ht="15">
      <c r="A25" s="159" t="s">
        <v>915</v>
      </c>
      <c r="B25" s="159"/>
      <c r="C25" s="159"/>
      <c r="D25" s="159"/>
      <c r="E25" s="159"/>
      <c r="F25" s="159"/>
      <c r="G25" s="159"/>
      <c r="H25" s="159"/>
      <c r="I25" s="159"/>
      <c r="J25" s="159"/>
    </row>
    <row r="26" spans="1:10" ht="30">
      <c r="A26" s="122" t="s">
        <v>847</v>
      </c>
      <c r="B26" s="122" t="s">
        <v>916</v>
      </c>
      <c r="C26" s="122" t="s">
        <v>917</v>
      </c>
      <c r="D26" s="122" t="s">
        <v>918</v>
      </c>
      <c r="E26" s="122" t="s">
        <v>919</v>
      </c>
      <c r="F26" s="122" t="s">
        <v>920</v>
      </c>
      <c r="G26" s="122" t="s">
        <v>848</v>
      </c>
      <c r="H26" s="122" t="s">
        <v>921</v>
      </c>
      <c r="I26" s="122" t="s">
        <v>922</v>
      </c>
      <c r="J26" s="122" t="s">
        <v>890</v>
      </c>
    </row>
    <row r="27" spans="1:10" ht="71.25">
      <c r="A27" s="111" t="s">
        <v>103</v>
      </c>
      <c r="B27" s="111" t="s">
        <v>923</v>
      </c>
      <c r="C27" s="131">
        <v>0.5</v>
      </c>
      <c r="D27" s="115">
        <f>C27*$B$7</f>
        <v>43653.5</v>
      </c>
      <c r="E27" s="115">
        <f>D27*$B$11</f>
        <v>26494.429712107816</v>
      </c>
      <c r="F27" s="130">
        <v>2500</v>
      </c>
      <c r="G27" s="115">
        <f>SUM(D27:F27)</f>
        <v>72647.929712107813</v>
      </c>
      <c r="H27" s="124">
        <f>$B$6/C27</f>
        <v>580</v>
      </c>
      <c r="I27" s="111" t="s">
        <v>924</v>
      </c>
      <c r="J27" s="111" t="s">
        <v>925</v>
      </c>
    </row>
    <row r="28" spans="1:10" ht="57">
      <c r="A28" s="111" t="s">
        <v>531</v>
      </c>
      <c r="B28" s="111" t="s">
        <v>926</v>
      </c>
      <c r="C28" s="131">
        <v>1</v>
      </c>
      <c r="D28" s="115">
        <f>C28*$B$7</f>
        <v>87307</v>
      </c>
      <c r="E28" s="115">
        <f>D28*$B$11</f>
        <v>52988.859424215632</v>
      </c>
      <c r="F28" s="130">
        <v>5000</v>
      </c>
      <c r="G28" s="115">
        <f>SUM(D28:F28)</f>
        <v>145295.85942421563</v>
      </c>
      <c r="H28" s="124">
        <f>$B$6/C28</f>
        <v>290</v>
      </c>
      <c r="I28" s="111" t="s">
        <v>927</v>
      </c>
      <c r="J28" s="111" t="s">
        <v>928</v>
      </c>
    </row>
    <row r="29" spans="1:10" ht="71.25">
      <c r="A29" s="111" t="s">
        <v>297</v>
      </c>
      <c r="B29" s="111" t="s">
        <v>929</v>
      </c>
      <c r="C29" s="131">
        <v>1</v>
      </c>
      <c r="D29" s="115">
        <f>C29*$B$12*$B$13</f>
        <v>53552</v>
      </c>
      <c r="E29" s="115">
        <f>D29*$B$11</f>
        <v>32502.083451333747</v>
      </c>
      <c r="F29" s="130">
        <v>3000</v>
      </c>
      <c r="G29" s="115">
        <f>SUM(D29:F29)</f>
        <v>89054.083451333747</v>
      </c>
      <c r="H29" s="111" t="s">
        <v>930</v>
      </c>
      <c r="I29" s="111" t="s">
        <v>931</v>
      </c>
      <c r="J29" s="111" t="s">
        <v>932</v>
      </c>
    </row>
    <row r="30" spans="1:10" ht="57">
      <c r="A30" s="111" t="s">
        <v>69</v>
      </c>
      <c r="B30" s="111" t="s">
        <v>933</v>
      </c>
      <c r="C30" s="131">
        <v>0.5</v>
      </c>
      <c r="D30" s="115">
        <f>C30*$B$12*$B$13</f>
        <v>26776</v>
      </c>
      <c r="E30" s="115">
        <f>D30*$B$11</f>
        <v>16251.041725666873</v>
      </c>
      <c r="F30" s="130">
        <v>2000</v>
      </c>
      <c r="G30" s="115">
        <f>SUM(D30:F30)</f>
        <v>45027.041725666873</v>
      </c>
      <c r="H30" s="111" t="s">
        <v>930</v>
      </c>
      <c r="I30" s="111" t="s">
        <v>934</v>
      </c>
      <c r="J30" s="111" t="s">
        <v>935</v>
      </c>
    </row>
    <row r="31" spans="1:10" ht="85.5">
      <c r="A31" s="111" t="s">
        <v>76</v>
      </c>
      <c r="B31" s="111" t="s">
        <v>936</v>
      </c>
      <c r="C31" s="111" t="s">
        <v>140</v>
      </c>
      <c r="D31" s="111" t="s">
        <v>140</v>
      </c>
      <c r="E31" s="111" t="s">
        <v>140</v>
      </c>
      <c r="F31" s="111" t="s">
        <v>140</v>
      </c>
      <c r="G31" s="111" t="s">
        <v>140</v>
      </c>
      <c r="H31" s="111" t="s">
        <v>930</v>
      </c>
      <c r="I31" s="111" t="s">
        <v>937</v>
      </c>
      <c r="J31" s="111" t="s">
        <v>938</v>
      </c>
    </row>
    <row r="33" spans="1:10" ht="15">
      <c r="A33" s="159" t="s">
        <v>939</v>
      </c>
      <c r="B33" s="159"/>
      <c r="C33" s="159"/>
      <c r="D33" s="159"/>
      <c r="E33" s="159"/>
      <c r="F33" s="159"/>
      <c r="G33" s="159"/>
      <c r="H33" s="159"/>
      <c r="I33" s="159"/>
      <c r="J33" s="159"/>
    </row>
    <row r="34" spans="1:10" ht="15">
      <c r="A34" s="122" t="s">
        <v>940</v>
      </c>
      <c r="B34" s="122" t="s">
        <v>941</v>
      </c>
      <c r="C34" s="122" t="s">
        <v>942</v>
      </c>
      <c r="D34" s="122" t="s">
        <v>943</v>
      </c>
    </row>
    <row r="35" spans="1:10" ht="42.75">
      <c r="A35" s="111" t="s">
        <v>944</v>
      </c>
      <c r="B35" s="111" t="s">
        <v>945</v>
      </c>
      <c r="C35" s="111" t="s">
        <v>946</v>
      </c>
      <c r="D35" s="111" t="s">
        <v>947</v>
      </c>
    </row>
    <row r="36" spans="1:10" ht="42.75">
      <c r="A36" s="111" t="s">
        <v>948</v>
      </c>
      <c r="B36" s="111" t="s">
        <v>949</v>
      </c>
      <c r="C36" s="111" t="s">
        <v>950</v>
      </c>
      <c r="D36" s="111" t="s">
        <v>951</v>
      </c>
    </row>
    <row r="37" spans="1:10" ht="57">
      <c r="A37" s="111" t="s">
        <v>952</v>
      </c>
      <c r="B37" s="111" t="s">
        <v>953</v>
      </c>
      <c r="C37" s="111" t="s">
        <v>954</v>
      </c>
      <c r="D37" s="111" t="s">
        <v>955</v>
      </c>
    </row>
    <row r="38" spans="1:10" ht="57">
      <c r="A38" s="111" t="s">
        <v>956</v>
      </c>
      <c r="B38" s="111" t="s">
        <v>957</v>
      </c>
      <c r="C38" s="111" t="s">
        <v>958</v>
      </c>
      <c r="D38" s="111" t="s">
        <v>959</v>
      </c>
    </row>
    <row r="40" spans="1:10" ht="15">
      <c r="A40" s="159" t="s">
        <v>960</v>
      </c>
      <c r="B40" s="159"/>
      <c r="C40" s="159"/>
      <c r="D40" s="159"/>
      <c r="E40" s="159"/>
      <c r="F40" s="159"/>
      <c r="G40" s="159"/>
      <c r="H40" s="159"/>
      <c r="I40" s="159"/>
      <c r="J40" s="159"/>
    </row>
    <row r="41" spans="1:10" ht="15">
      <c r="A41" s="122" t="s">
        <v>961</v>
      </c>
      <c r="B41" s="122" t="s">
        <v>150</v>
      </c>
      <c r="C41" s="122" t="s">
        <v>521</v>
      </c>
      <c r="D41" s="122" t="s">
        <v>962</v>
      </c>
      <c r="E41" s="122" t="s">
        <v>963</v>
      </c>
      <c r="F41" s="122" t="s">
        <v>524</v>
      </c>
      <c r="G41" s="122" t="s">
        <v>964</v>
      </c>
      <c r="H41" s="122" t="s">
        <v>965</v>
      </c>
      <c r="I41" s="122" t="s">
        <v>966</v>
      </c>
      <c r="J41" s="122" t="s">
        <v>967</v>
      </c>
    </row>
    <row r="42" spans="1:10" ht="42.75">
      <c r="A42" s="111" t="s">
        <v>968</v>
      </c>
      <c r="B42" s="111" t="s">
        <v>645</v>
      </c>
      <c r="C42" s="111" t="s">
        <v>646</v>
      </c>
      <c r="D42" s="114" t="s">
        <v>551</v>
      </c>
      <c r="E42" s="111" t="s">
        <v>969</v>
      </c>
      <c r="F42" s="111" t="s">
        <v>648</v>
      </c>
      <c r="G42" s="111" t="s">
        <v>970</v>
      </c>
      <c r="H42" s="111" t="s">
        <v>971</v>
      </c>
      <c r="I42" s="111" t="s">
        <v>972</v>
      </c>
      <c r="J42" s="111" t="s">
        <v>891</v>
      </c>
    </row>
    <row r="43" spans="1:10" ht="42.75">
      <c r="A43" s="111" t="s">
        <v>973</v>
      </c>
      <c r="B43" s="111" t="s">
        <v>651</v>
      </c>
      <c r="C43" s="111" t="s">
        <v>974</v>
      </c>
      <c r="D43" s="114" t="s">
        <v>653</v>
      </c>
      <c r="E43" s="111" t="s">
        <v>975</v>
      </c>
      <c r="F43" s="111" t="s">
        <v>655</v>
      </c>
      <c r="G43" s="111" t="s">
        <v>976</v>
      </c>
      <c r="H43" s="111" t="s">
        <v>977</v>
      </c>
      <c r="I43" s="111" t="s">
        <v>978</v>
      </c>
      <c r="J43" s="111" t="s">
        <v>979</v>
      </c>
    </row>
    <row r="44" spans="1:10" ht="71.25">
      <c r="A44" s="111" t="s">
        <v>980</v>
      </c>
      <c r="B44" s="111" t="s">
        <v>645</v>
      </c>
      <c r="C44" s="111" t="s">
        <v>981</v>
      </c>
      <c r="D44" s="114" t="s">
        <v>551</v>
      </c>
      <c r="E44" s="111" t="s">
        <v>982</v>
      </c>
      <c r="F44" s="111" t="s">
        <v>648</v>
      </c>
      <c r="G44" s="111" t="s">
        <v>983</v>
      </c>
      <c r="H44" s="111" t="s">
        <v>984</v>
      </c>
      <c r="I44" s="111" t="s">
        <v>978</v>
      </c>
      <c r="J44" s="111" t="s">
        <v>985</v>
      </c>
    </row>
    <row r="45" spans="1:10" ht="42.75">
      <c r="A45" s="111" t="s">
        <v>986</v>
      </c>
      <c r="B45" s="111" t="s">
        <v>987</v>
      </c>
      <c r="C45" s="111" t="s">
        <v>988</v>
      </c>
      <c r="D45" s="114" t="s">
        <v>558</v>
      </c>
      <c r="E45" s="111" t="s">
        <v>989</v>
      </c>
      <c r="F45" s="111" t="s">
        <v>648</v>
      </c>
      <c r="G45" s="111" t="s">
        <v>990</v>
      </c>
      <c r="H45" s="111" t="s">
        <v>991</v>
      </c>
      <c r="I45" s="111" t="s">
        <v>992</v>
      </c>
      <c r="J45" s="111" t="s">
        <v>993</v>
      </c>
    </row>
    <row r="46" spans="1:10" ht="42.75">
      <c r="A46" s="111" t="s">
        <v>994</v>
      </c>
      <c r="B46" s="111" t="s">
        <v>995</v>
      </c>
      <c r="C46" s="111" t="s">
        <v>996</v>
      </c>
      <c r="D46" s="114" t="s">
        <v>798</v>
      </c>
      <c r="E46" s="111" t="s">
        <v>997</v>
      </c>
      <c r="F46" s="111" t="s">
        <v>661</v>
      </c>
      <c r="G46" s="111" t="s">
        <v>998</v>
      </c>
      <c r="H46" s="111" t="s">
        <v>999</v>
      </c>
      <c r="I46" s="111" t="s">
        <v>1000</v>
      </c>
      <c r="J46" s="111" t="s">
        <v>891</v>
      </c>
    </row>
    <row r="47" spans="1:10" ht="57">
      <c r="A47" s="111" t="s">
        <v>1001</v>
      </c>
      <c r="B47" s="111" t="s">
        <v>1002</v>
      </c>
      <c r="C47" s="111" t="s">
        <v>1003</v>
      </c>
      <c r="D47" s="114" t="s">
        <v>1004</v>
      </c>
      <c r="E47" s="111" t="s">
        <v>997</v>
      </c>
      <c r="F47" s="111" t="s">
        <v>1005</v>
      </c>
      <c r="G47" s="111" t="s">
        <v>1006</v>
      </c>
      <c r="H47" s="111" t="s">
        <v>1007</v>
      </c>
      <c r="I47" s="111" t="s">
        <v>1000</v>
      </c>
      <c r="J47" s="111" t="s">
        <v>909</v>
      </c>
    </row>
    <row r="48" spans="1:10" ht="57">
      <c r="A48" s="111" t="s">
        <v>1008</v>
      </c>
      <c r="B48" s="111" t="s">
        <v>1009</v>
      </c>
      <c r="C48" s="111" t="s">
        <v>1010</v>
      </c>
      <c r="D48" s="114" t="s">
        <v>1011</v>
      </c>
      <c r="E48" s="111" t="s">
        <v>1012</v>
      </c>
      <c r="F48" s="111" t="s">
        <v>661</v>
      </c>
      <c r="G48" s="111" t="s">
        <v>1013</v>
      </c>
      <c r="H48" s="111" t="s">
        <v>1014</v>
      </c>
      <c r="I48" s="111" t="s">
        <v>1000</v>
      </c>
      <c r="J48" s="111" t="s">
        <v>1015</v>
      </c>
    </row>
    <row r="49" spans="1:10" ht="71.25">
      <c r="A49" s="111" t="s">
        <v>1016</v>
      </c>
      <c r="B49" s="111" t="s">
        <v>1017</v>
      </c>
      <c r="C49" s="111" t="s">
        <v>1018</v>
      </c>
      <c r="D49" s="114" t="s">
        <v>1019</v>
      </c>
      <c r="E49" s="111" t="s">
        <v>1020</v>
      </c>
      <c r="F49" s="111" t="s">
        <v>661</v>
      </c>
      <c r="G49" s="111" t="s">
        <v>1021</v>
      </c>
      <c r="H49" s="111" t="s">
        <v>1022</v>
      </c>
      <c r="I49" s="111" t="s">
        <v>1000</v>
      </c>
      <c r="J49" s="111" t="s">
        <v>1023</v>
      </c>
    </row>
    <row r="50" spans="1:10" ht="42.75">
      <c r="A50" s="111" t="s">
        <v>1024</v>
      </c>
      <c r="B50" s="111" t="s">
        <v>1025</v>
      </c>
      <c r="C50" s="111" t="s">
        <v>1026</v>
      </c>
      <c r="D50" s="114" t="s">
        <v>659</v>
      </c>
      <c r="E50" s="111" t="s">
        <v>660</v>
      </c>
      <c r="F50" s="111" t="s">
        <v>661</v>
      </c>
      <c r="G50" s="111" t="s">
        <v>1027</v>
      </c>
      <c r="H50" s="111" t="s">
        <v>1028</v>
      </c>
      <c r="I50" s="111" t="s">
        <v>1000</v>
      </c>
      <c r="J50" s="111" t="s">
        <v>985</v>
      </c>
    </row>
  </sheetData>
  <mergeCells count="7">
    <mergeCell ref="A33:J33"/>
    <mergeCell ref="A40:J40"/>
    <mergeCell ref="A1:J1"/>
    <mergeCell ref="A2:J2"/>
    <mergeCell ref="A4:E4"/>
    <mergeCell ref="A18:J18"/>
    <mergeCell ref="A25:J25"/>
  </mergeCells>
  <pageMargins left="0.7" right="0.7" top="0.75" bottom="0.75" header="0.3" footer="0.3"/>
  <drawing r:id="rId1"/>
</worksheet>
</file>

<file path=docMetadata/LabelInfo.xml><?xml version="1.0" encoding="utf-8"?>
<clbl:labelList xmlns:clbl="http://schemas.microsoft.com/office/2020/mipLabelMetadata">
  <clbl:label id="{7efd950c-944d-404f-b6bf-71cb7e06b360}" enabled="1" method="Standard" siteId="{bfa12df7-47f4-4a99-a8ad-1209e99b84f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Executive Summary</vt:lpstr>
      <vt:lpstr>FY28 Budget Model</vt:lpstr>
      <vt:lpstr>Staffing Plan</vt:lpstr>
      <vt:lpstr>FY26 Baseline</vt:lpstr>
      <vt:lpstr>FY26 Staffing History</vt:lpstr>
      <vt:lpstr>Staffing Formulas</vt:lpstr>
      <vt:lpstr>FY28 Foundation</vt:lpstr>
      <vt:lpstr>FY28 In-Kind &amp; Rent</vt:lpstr>
      <vt:lpstr>KPEA FY28 Salary</vt:lpstr>
      <vt:lpstr>KPESA FY28 Salary</vt:lpstr>
      <vt:lpstr>Admin Salary Ref</vt:lpstr>
      <vt:lpstr>Sources &amp; Notes</vt:lpstr>
      <vt:lpstr>SolEl_CS</vt:lpstr>
      <vt:lpstr>Percent of AADM</vt:lpstr>
      <vt:lpstr>Additional Allowable</vt:lpstr>
      <vt:lpstr>In-Kind Chargeable Costs</vt:lpstr>
      <vt:lpstr>Rent 625</vt:lpstr>
      <vt:lpstr>Total Revenue</vt:lpstr>
      <vt:lpstr>Title I History</vt:lpstr>
      <vt:lpstr>Exploratory Funds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Ben Cheah</cp:lastModifiedBy>
  <dcterms:modified xsi:type="dcterms:W3CDTF">2026-09-26T01:37:28Z</dcterms:modified>
</cp:coreProperties>
</file>