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verdantassoc-my.sharepoint.com/personal/ben_verdantassoc_com/Documents/Desktop/SolEd_CharterSchool/CharterApplication/"/>
    </mc:Choice>
  </mc:AlternateContent>
  <xr:revisionPtr revIDLastSave="56" documentId="13_ncr:1_{1C16532A-7D87-4024-B904-76D5C430D482}" xr6:coauthVersionLast="47" xr6:coauthVersionMax="47" xr10:uidLastSave="{043B5107-98FF-41F9-9A43-DF4B943F0C05}"/>
  <bookViews>
    <workbookView xWindow="-38520" yWindow="-120" windowWidth="38640" windowHeight="15720" tabRatio="712" xr2:uid="{00000000-000D-0000-FFFF-FFFF00000000}"/>
  </bookViews>
  <sheets>
    <sheet name="Summary" sheetId="1" r:id="rId1"/>
    <sheet name="Budget" sheetId="2" r:id="rId2"/>
    <sheet name="Staffing" sheetId="3" r:id="rId3"/>
    <sheet name="Enrollment" sheetId="4" r:id="rId4"/>
    <sheet name="Inputs" sheetId="5" r:id="rId5"/>
    <sheet name="Rules and Capacity" sheetId="6" r:id="rId6"/>
    <sheet name="District Budget" sheetId="7" r:id="rId7"/>
    <sheet name="SoEl CS" sheetId="8" r:id="rId8"/>
    <sheet name="Percent of AADM" sheetId="9" r:id="rId9"/>
    <sheet name="Additional Allowable" sheetId="10" r:id="rId10"/>
    <sheet name="In-Kind Chargeable Costs" sheetId="11" r:id="rId11"/>
    <sheet name="Rent 625" sheetId="12" r:id="rId12"/>
    <sheet name="Total Revenue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1" l="1"/>
  <c r="B15" i="11"/>
  <c r="B10" i="10"/>
  <c r="B14" i="10" s="1"/>
  <c r="J24" i="8"/>
  <c r="J23" i="8"/>
  <c r="J18" i="8"/>
  <c r="J19" i="8" s="1"/>
  <c r="J20" i="8" s="1"/>
  <c r="J21" i="8" s="1"/>
  <c r="J22" i="8" s="1"/>
  <c r="J25" i="8" s="1"/>
  <c r="C49" i="7"/>
  <c r="D45" i="7"/>
  <c r="C40" i="7"/>
  <c r="C35" i="7"/>
  <c r="C34" i="7"/>
  <c r="C33" i="7"/>
  <c r="C32" i="7"/>
  <c r="C31" i="7"/>
  <c r="C22" i="7"/>
  <c r="C21" i="7"/>
  <c r="C16" i="7"/>
  <c r="B13" i="7"/>
  <c r="C13" i="7" s="1"/>
  <c r="C12" i="7"/>
  <c r="B4" i="7"/>
  <c r="C4" i="7" s="1"/>
  <c r="C3" i="7"/>
  <c r="B40" i="6"/>
  <c r="B39" i="6"/>
  <c r="B21" i="6"/>
  <c r="B13" i="6"/>
  <c r="B9" i="6"/>
  <c r="B83" i="5"/>
  <c r="B68" i="5"/>
  <c r="B67" i="5"/>
  <c r="B66" i="5"/>
  <c r="B65" i="5"/>
  <c r="B64" i="5"/>
  <c r="B63" i="5"/>
  <c r="B62" i="5"/>
  <c r="B61" i="5"/>
  <c r="B40" i="5"/>
  <c r="B39" i="5"/>
  <c r="B38" i="5"/>
  <c r="B11" i="6" s="1"/>
  <c r="B36" i="5"/>
  <c r="B10" i="6" s="1"/>
  <c r="B32" i="5"/>
  <c r="B31" i="5"/>
  <c r="B30" i="5"/>
  <c r="B28" i="5"/>
  <c r="B19" i="2" s="1"/>
  <c r="B27" i="5"/>
  <c r="B18" i="2" s="1"/>
  <c r="B26" i="5"/>
  <c r="B17" i="2" s="1"/>
  <c r="B25" i="5"/>
  <c r="B16" i="2" s="1"/>
  <c r="B24" i="5"/>
  <c r="B15" i="2" s="1"/>
  <c r="B23" i="5"/>
  <c r="B14" i="2" s="1"/>
  <c r="B22" i="5"/>
  <c r="B13" i="2" s="1"/>
  <c r="B21" i="5"/>
  <c r="B20" i="5"/>
  <c r="B19" i="5"/>
  <c r="B18" i="5"/>
  <c r="B17" i="5"/>
  <c r="B16" i="5"/>
  <c r="B15" i="5"/>
  <c r="B14" i="5"/>
  <c r="B13" i="5"/>
  <c r="B12" i="5"/>
  <c r="B11" i="5"/>
  <c r="C13" i="3" s="1"/>
  <c r="B10" i="5"/>
  <c r="B8" i="5"/>
  <c r="B7" i="6" s="1"/>
  <c r="B14" i="4"/>
  <c r="B4" i="4"/>
  <c r="D25" i="3"/>
  <c r="C21" i="3"/>
  <c r="C20" i="3"/>
  <c r="C19" i="3"/>
  <c r="B19" i="3"/>
  <c r="C18" i="3"/>
  <c r="C17" i="3"/>
  <c r="B17" i="3"/>
  <c r="B13" i="3"/>
  <c r="B12" i="3"/>
  <c r="B11" i="3"/>
  <c r="B10" i="3"/>
  <c r="B9" i="3"/>
  <c r="B8" i="3"/>
  <c r="B22" i="2"/>
  <c r="B43" i="6" l="1"/>
  <c r="B42" i="6"/>
  <c r="B50" i="6" s="1"/>
  <c r="D13" i="3"/>
  <c r="C12" i="3"/>
  <c r="D12" i="3" s="1"/>
  <c r="C11" i="3"/>
  <c r="C10" i="3"/>
  <c r="D10" i="3" s="1"/>
  <c r="C9" i="3"/>
  <c r="D9" i="3" s="1"/>
  <c r="C8" i="3"/>
  <c r="D8" i="3" s="1"/>
  <c r="C7" i="3"/>
  <c r="B18" i="1"/>
  <c r="E13" i="3"/>
  <c r="H31" i="8"/>
  <c r="J31" i="8" s="1"/>
  <c r="D10" i="12"/>
  <c r="E10" i="12" s="1"/>
  <c r="B12" i="13" s="1"/>
  <c r="J27" i="8"/>
  <c r="B12" i="9"/>
  <c r="C23" i="7"/>
  <c r="C24" i="7"/>
  <c r="C25" i="7"/>
  <c r="C26" i="7"/>
  <c r="C27" i="7"/>
  <c r="C17" i="7"/>
  <c r="C15" i="7"/>
  <c r="C14" i="7"/>
  <c r="C18" i="7" s="1"/>
  <c r="C8" i="7"/>
  <c r="C7" i="7"/>
  <c r="C6" i="7"/>
  <c r="C5" i="7"/>
  <c r="C9" i="7" s="1"/>
  <c r="B17" i="6"/>
  <c r="B18" i="6"/>
  <c r="B18" i="3" s="1"/>
  <c r="E9" i="4"/>
  <c r="C8" i="4"/>
  <c r="D8" i="4" s="1"/>
  <c r="E7" i="4"/>
  <c r="C12" i="4"/>
  <c r="D12" i="4" s="1"/>
  <c r="E12" i="4"/>
  <c r="E11" i="4"/>
  <c r="C9" i="4"/>
  <c r="D9" i="4" s="1"/>
  <c r="E8" i="4"/>
  <c r="C7" i="4"/>
  <c r="C10" i="4"/>
  <c r="D10" i="4" s="1"/>
  <c r="C11" i="4"/>
  <c r="D11" i="4" s="1"/>
  <c r="E10" i="4"/>
  <c r="E13" i="4"/>
  <c r="C13" i="4"/>
  <c r="F25" i="3"/>
  <c r="G25" i="3" s="1"/>
  <c r="D19" i="3"/>
  <c r="E19" i="3"/>
  <c r="D17" i="3"/>
  <c r="E17" i="3"/>
  <c r="F13" i="3"/>
  <c r="G13" i="3"/>
  <c r="E12" i="3"/>
  <c r="B17" i="1"/>
  <c r="D11" i="3"/>
  <c r="B16" i="1"/>
  <c r="E11" i="3"/>
  <c r="E10" i="3"/>
  <c r="E9" i="3"/>
  <c r="E8" i="3"/>
  <c r="B15" i="1"/>
  <c r="B15" i="6"/>
  <c r="B5" i="13" l="1"/>
  <c r="J34" i="8"/>
  <c r="B17" i="10"/>
  <c r="C17" i="10" s="1"/>
  <c r="C12" i="9"/>
  <c r="C9" i="11" s="1"/>
  <c r="B20" i="3"/>
  <c r="B87" i="5"/>
  <c r="E18" i="3"/>
  <c r="D18" i="3"/>
  <c r="C14" i="4"/>
  <c r="D7" i="4"/>
  <c r="F19" i="3"/>
  <c r="G19" i="3" s="1"/>
  <c r="F17" i="3"/>
  <c r="G17" i="3" s="1"/>
  <c r="F12" i="3"/>
  <c r="G12" i="3" s="1"/>
  <c r="F11" i="3"/>
  <c r="G11" i="3" s="1"/>
  <c r="F10" i="3"/>
  <c r="G10" i="3" s="1"/>
  <c r="F9" i="3"/>
  <c r="G9" i="3" s="1"/>
  <c r="F8" i="3"/>
  <c r="G8" i="3" s="1"/>
  <c r="B86" i="5"/>
  <c r="B16" i="6"/>
  <c r="B21" i="3" s="1"/>
  <c r="F10" i="4"/>
  <c r="G10" i="4" s="1"/>
  <c r="F11" i="4"/>
  <c r="G11" i="4" s="1"/>
  <c r="F9" i="4"/>
  <c r="G9" i="4" s="1"/>
  <c r="C28" i="7"/>
  <c r="C37" i="7" s="1"/>
  <c r="C51" i="7" s="1"/>
  <c r="C53" i="7" s="1"/>
  <c r="F8" i="4"/>
  <c r="G8" i="4" s="1"/>
  <c r="F12" i="4"/>
  <c r="G12" i="4" s="1"/>
  <c r="J36" i="8" l="1"/>
  <c r="B7" i="13"/>
  <c r="B8" i="13" s="1"/>
  <c r="B10" i="12"/>
  <c r="D9" i="11"/>
  <c r="D17" i="11" s="1"/>
  <c r="C10" i="11"/>
  <c r="D10" i="11" s="1"/>
  <c r="C11" i="11"/>
  <c r="D11" i="11" s="1"/>
  <c r="C12" i="11"/>
  <c r="D12" i="11" s="1"/>
  <c r="C13" i="11"/>
  <c r="D13" i="11" s="1"/>
  <c r="C14" i="11"/>
  <c r="D14" i="11" s="1"/>
  <c r="C15" i="11"/>
  <c r="D15" i="11" s="1"/>
  <c r="B23" i="3"/>
  <c r="B19" i="1" s="1"/>
  <c r="D20" i="3"/>
  <c r="E20" i="3"/>
  <c r="F18" i="3"/>
  <c r="G18" i="3" s="1"/>
  <c r="F7" i="4"/>
  <c r="D13" i="4"/>
  <c r="D21" i="3"/>
  <c r="E21" i="3"/>
  <c r="E23" i="3" l="1"/>
  <c r="C10" i="12"/>
  <c r="G10" i="12" s="1"/>
  <c r="B11" i="13"/>
  <c r="B14" i="13" s="1"/>
  <c r="B15" i="13" s="1"/>
  <c r="B7" i="5" s="1"/>
  <c r="D23" i="3"/>
  <c r="F20" i="3"/>
  <c r="G7" i="4"/>
  <c r="F14" i="4"/>
  <c r="F21" i="3"/>
  <c r="G21" i="3" s="1"/>
  <c r="B10" i="13"/>
  <c r="J38" i="8"/>
  <c r="F13" i="4"/>
  <c r="G13" i="4" s="1"/>
  <c r="B20" i="4"/>
  <c r="D14" i="4"/>
  <c r="G14" i="4" l="1"/>
  <c r="B24" i="2"/>
  <c r="B18" i="4"/>
  <c r="B26" i="1" s="1"/>
  <c r="B25" i="1"/>
  <c r="B19" i="4"/>
  <c r="F23" i="3"/>
  <c r="G20" i="3"/>
  <c r="G23" i="3" s="1"/>
  <c r="B7" i="1" l="1"/>
  <c r="B8" i="6"/>
  <c r="B27" i="1"/>
  <c r="B45" i="6" l="1"/>
  <c r="B7" i="3"/>
  <c r="B46" i="6" l="1"/>
  <c r="B51" i="6"/>
  <c r="B52" i="6" s="1"/>
  <c r="D7" i="3"/>
  <c r="B14" i="3"/>
  <c r="B12" i="2" s="1"/>
  <c r="B21" i="2" s="1"/>
  <c r="B9" i="1" s="1"/>
  <c r="B15" i="3"/>
  <c r="B27" i="3" s="1"/>
  <c r="B20" i="1" s="1"/>
  <c r="E7" i="3"/>
  <c r="E15" i="3" s="1"/>
  <c r="E27" i="3" s="1"/>
  <c r="B8" i="2" s="1"/>
  <c r="B14" i="1"/>
  <c r="D15" i="3" l="1"/>
  <c r="D27" i="3" s="1"/>
  <c r="B7" i="2" s="1"/>
  <c r="F7" i="3"/>
  <c r="F15" i="3" l="1"/>
  <c r="F27" i="3" s="1"/>
  <c r="B9" i="2" s="1"/>
  <c r="B10" i="2" s="1"/>
  <c r="G7" i="3"/>
  <c r="G15" i="3" s="1"/>
  <c r="G27" i="3" s="1"/>
  <c r="B23" i="2" l="1"/>
  <c r="B8" i="1"/>
  <c r="B25" i="2" l="1"/>
  <c r="B11" i="1" s="1"/>
  <c r="B10" i="1"/>
</calcChain>
</file>

<file path=xl/sharedStrings.xml><?xml version="1.0" encoding="utf-8"?>
<sst xmlns="http://schemas.openxmlformats.org/spreadsheetml/2006/main" count="509" uniqueCount="417">
  <si>
    <t>Soldotna Elementary Charter School</t>
  </si>
  <si>
    <t>Financial result</t>
  </si>
  <si>
    <t>Amount</t>
  </si>
  <si>
    <t>Net operating funds</t>
  </si>
  <si>
    <t>Other expenses</t>
  </si>
  <si>
    <t>Total projected spending</t>
  </si>
  <si>
    <t>Staffing</t>
  </si>
  <si>
    <t>FTE</t>
  </si>
  <si>
    <t>Classroom teachers</t>
  </si>
  <si>
    <t>Music / Science / PE teachers</t>
  </si>
  <si>
    <t>Intervention teacher</t>
  </si>
  <si>
    <t>Principal</t>
  </si>
  <si>
    <t>Classroom allocation</t>
  </si>
  <si>
    <t>Unrounded district formula FTE</t>
  </si>
  <si>
    <t>District rounded allocation FTE</t>
  </si>
  <si>
    <t>Whole classroom planning floor</t>
  </si>
  <si>
    <t>FY28 operating budget</t>
  </si>
  <si>
    <t>Category</t>
  </si>
  <si>
    <t>Annual cost</t>
  </si>
  <si>
    <t>Salaries / wages</t>
  </si>
  <si>
    <t>Health benefits</t>
  </si>
  <si>
    <t>Other employer payroll costs</t>
  </si>
  <si>
    <t>Discretionary funding</t>
  </si>
  <si>
    <t>Staff travel</t>
  </si>
  <si>
    <t>Utilities</t>
  </si>
  <si>
    <t>Purchased services</t>
  </si>
  <si>
    <t>Supplies / materials</t>
  </si>
  <si>
    <t>Dues / fees / other</t>
  </si>
  <si>
    <t>Equipment / technology</t>
  </si>
  <si>
    <t>Net available after district charges</t>
  </si>
  <si>
    <t>Surplus / (shortfall)</t>
  </si>
  <si>
    <t>FY28 staffing and employer costs</t>
  </si>
  <si>
    <t>Position</t>
  </si>
  <si>
    <t>Salary / FTE</t>
  </si>
  <si>
    <t>Salaries</t>
  </si>
  <si>
    <t>Health</t>
  </si>
  <si>
    <t>Payroll costs</t>
  </si>
  <si>
    <t>Total cost</t>
  </si>
  <si>
    <t>Music teacher</t>
  </si>
  <si>
    <t>Science teacher</t>
  </si>
  <si>
    <t>PE teacher</t>
  </si>
  <si>
    <t>Teacher FTE (excludes principal)</t>
  </si>
  <si>
    <t>Library aide</t>
  </si>
  <si>
    <t>Nurse</t>
  </si>
  <si>
    <t>Office support</t>
  </si>
  <si>
    <t>Custodians</t>
  </si>
  <si>
    <t>Substitutes</t>
  </si>
  <si>
    <t>Classroom staffing for 290 students</t>
  </si>
  <si>
    <t>Target enrollment</t>
  </si>
  <si>
    <t>Grade</t>
  </si>
  <si>
    <t>PTR allocation</t>
  </si>
  <si>
    <t>Formula FTE</t>
  </si>
  <si>
    <t>Separate grades</t>
  </si>
  <si>
    <t>K</t>
  </si>
  <si>
    <t>1</t>
  </si>
  <si>
    <t>2</t>
  </si>
  <si>
    <t>3</t>
  </si>
  <si>
    <t>4</t>
  </si>
  <si>
    <t>5</t>
  </si>
  <si>
    <t>6</t>
  </si>
  <si>
    <t>Total</t>
  </si>
  <si>
    <t>Measure</t>
  </si>
  <si>
    <t>Result</t>
  </si>
  <si>
    <t>District rounded classroom FTE</t>
  </si>
  <si>
    <t>Whole classroom teachers</t>
  </si>
  <si>
    <t>Allocation rounding difference</t>
  </si>
  <si>
    <t>Classroom planning limits</t>
  </si>
  <si>
    <t>FY28 cost and staffing assumptions</t>
  </si>
  <si>
    <t>Driver</t>
  </si>
  <si>
    <t>Value</t>
  </si>
  <si>
    <t>Source / treatment</t>
  </si>
  <si>
    <t>Net operating revenue</t>
  </si>
  <si>
    <t>Enrollment</t>
  </si>
  <si>
    <t>Teacher annual salary</t>
  </si>
  <si>
    <t>Principal annual salary</t>
  </si>
  <si>
    <t>Classified annual wages</t>
  </si>
  <si>
    <t>Annual health cost per FTE</t>
  </si>
  <si>
    <t>TRS</t>
  </si>
  <si>
    <t>PERS</t>
  </si>
  <si>
    <t>Social Security</t>
  </si>
  <si>
    <t>Medicare</t>
  </si>
  <si>
    <t>Life insurance</t>
  </si>
  <si>
    <t>Unemployment</t>
  </si>
  <si>
    <t>Substitute annual wages</t>
  </si>
  <si>
    <t>Discretionary funding per teacher FTE</t>
  </si>
  <si>
    <t>Library aide FTE</t>
  </si>
  <si>
    <t>Director allocation; published FY26 formula at 290 gives about 1.05</t>
  </si>
  <si>
    <t>Director: 3.5 FTE. Published FY26 formula suggests about 2.51 before rounding</t>
  </si>
  <si>
    <t>Intervention teacher FTE</t>
  </si>
  <si>
    <t>Dedicated specialist FTE</t>
  </si>
  <si>
    <t>Principal FTE</t>
  </si>
  <si>
    <t>Finance teacher FTE</t>
  </si>
  <si>
    <t>Finance classified FTE</t>
  </si>
  <si>
    <t>Sources and unresolved scope</t>
  </si>
  <si>
    <t>Source</t>
  </si>
  <si>
    <t>Reference</t>
  </si>
  <si>
    <t>Finance cost sheet</t>
  </si>
  <si>
    <t>FY27 staffing formula</t>
  </si>
  <si>
    <t>https://egov.kpbsd.org/api/v1/documents/5764/download</t>
  </si>
  <si>
    <t>Prior FY28 model</t>
  </si>
  <si>
    <t>FY26 final budget</t>
  </si>
  <si>
    <t>https://kpbsd.org/wp-content/uploads/departments/finance/budget-development/fy26/FY26-Final-Budget-Document.pdf</t>
  </si>
  <si>
    <t>Special education supports</t>
  </si>
  <si>
    <t>Meals and transportation</t>
  </si>
  <si>
    <t>No new school expense or grant revenue assumed. Confirm continued district funding and service scope.</t>
  </si>
  <si>
    <t>Benefits</t>
  </si>
  <si>
    <t>Utilities and related services</t>
  </si>
  <si>
    <t>12-classroom schedule</t>
  </si>
  <si>
    <t>FY26 actuals supplied by Finance (unverified)</t>
  </si>
  <si>
    <t>Description</t>
  </si>
  <si>
    <t>Discretionary</t>
  </si>
  <si>
    <t>Professional / technical</t>
  </si>
  <si>
    <t>Dues / other</t>
  </si>
  <si>
    <t>Equipment</t>
  </si>
  <si>
    <t>Director staffing breakdown</t>
  </si>
  <si>
    <t>Source / classification</t>
  </si>
  <si>
    <t>Certified special education</t>
  </si>
  <si>
    <t>Resource teachers</t>
  </si>
  <si>
    <t>School allocation needs confirmation</t>
  </si>
  <si>
    <t>Intensive teachers</t>
  </si>
  <si>
    <t>Speech-language pathologist</t>
  </si>
  <si>
    <t>Psychologist</t>
  </si>
  <si>
    <t>Aides and contracted equivalents</t>
  </si>
  <si>
    <t>Director classification retained for cost reconciliation</t>
  </si>
  <si>
    <t>Intensive aides</t>
  </si>
  <si>
    <t>Confirm student-specific service needs</t>
  </si>
  <si>
    <t>SLP aide</t>
  </si>
  <si>
    <t>Contracted service equivalents</t>
  </si>
  <si>
    <t>Finance payroll-equivalent costing is a proxy; obtain actual contract charge</t>
  </si>
  <si>
    <t>General education including specialists</t>
  </si>
  <si>
    <t>Published custodian formula</t>
  </si>
  <si>
    <t>Published secretary formula</t>
  </si>
  <si>
    <t>Staffing rules and affordability</t>
  </si>
  <si>
    <t>General staffing driver</t>
  </si>
  <si>
    <t>District FY28 revenue model</t>
  </si>
  <si>
    <t>Whole-FTE planning option; combined grades and schedule approval required</t>
  </si>
  <si>
    <t>Dedicated Music / Science / PE</t>
  </si>
  <si>
    <t>User requirement: three teachers; one above district specialist allocation</t>
  </si>
  <si>
    <t>Published formula: 0.5 FTE at 200–350 students</t>
  </si>
  <si>
    <t>One principal per school</t>
  </si>
  <si>
    <t>Building square feet</t>
  </si>
  <si>
    <t>Custodial cost share</t>
  </si>
  <si>
    <t>Full school charge assumed; any shared-building savings require an agreed allocation</t>
  </si>
  <si>
    <t>Unrounded custodian allocation</t>
  </si>
  <si>
    <t>Average of square feet / 20,000 and enrollment / 125; district rounding unconfirmed</t>
  </si>
  <si>
    <t>School-charged custodian FTE</t>
  </si>
  <si>
    <t>Secretary FTE</t>
  </si>
  <si>
    <t>1.0 at &lt;=275; enrollment / 275 above 275; district rounding unconfirmed</t>
  </si>
  <si>
    <t>0.44 at &gt;=276 students; 0.38 at &lt;=275</t>
  </si>
  <si>
    <t>Special education staffing evidence</t>
  </si>
  <si>
    <t>Current allocation worksheet and service workload are required</t>
  </si>
  <si>
    <t>Intensive students in revenue model</t>
  </si>
  <si>
    <t>Resource caseload</t>
  </si>
  <si>
    <t>Required from Student Support Services; count alone may not establish service workload</t>
  </si>
  <si>
    <t>Current special education rule</t>
  </si>
  <si>
    <t>Enter policy/formula, effective year, rounding and approved exceptions in notes</t>
  </si>
  <si>
    <t>FTE / annual $</t>
  </si>
  <si>
    <t>SLP</t>
  </si>
  <si>
    <t>Resource aides</t>
  </si>
  <si>
    <t>Actual annual contracted costs</t>
  </si>
  <si>
    <t>Other required annual costs</t>
  </si>
  <si>
    <t>Verified overlap deduction</t>
  </si>
  <si>
    <t>Additional certified FTE</t>
  </si>
  <si>
    <t>Additional aide / nurse FTE</t>
  </si>
  <si>
    <t>Teacher annual cost incl. discretionary</t>
  </si>
  <si>
    <t>Finance salary, health and payroll rates; per-FTE health is a planning proxy</t>
  </si>
  <si>
    <t>Classified annual employer cost</t>
  </si>
  <si>
    <t>Finance blended cost; nurse/position-specific adjustments belong in other annual costs</t>
  </si>
  <si>
    <t>Maximum additional service spending</t>
  </si>
  <si>
    <t>Net revenue minus base costs; this is a ceiling, not an available surplus</t>
  </si>
  <si>
    <t>Certified + aides/nurse + contracts + other costs minus verified overlap</t>
  </si>
  <si>
    <t>Certified Teacher FTE</t>
  </si>
  <si>
    <t>Average Salary</t>
  </si>
  <si>
    <t>Life Insurance</t>
  </si>
  <si>
    <t>Total Salaries/Benefits</t>
  </si>
  <si>
    <t>Certified Admin FTE</t>
  </si>
  <si>
    <t>Classified FTE</t>
  </si>
  <si>
    <t>Average Wages</t>
  </si>
  <si>
    <t>Total Wages/Benefits</t>
  </si>
  <si>
    <t>Substitute</t>
  </si>
  <si>
    <t>Total Salaries/Wages and Benefits</t>
  </si>
  <si>
    <t>FY26 Actuals</t>
  </si>
  <si>
    <t>Discretional Fund per Cert FTE</t>
  </si>
  <si>
    <t>Professional/Technical Services</t>
  </si>
  <si>
    <t>Staff Travel</t>
  </si>
  <si>
    <t>Purchased Services</t>
  </si>
  <si>
    <t>Supplies/Materials</t>
  </si>
  <si>
    <t>Dues/Fees and Other Expenses</t>
  </si>
  <si>
    <t>Equipment/Technology</t>
  </si>
  <si>
    <t>Total Non-Personnel Costs</t>
  </si>
  <si>
    <t>Total projected expenditure</t>
  </si>
  <si>
    <t>Remaining Budget after Indirect costs, In-Kind services, Facilities/Rent adjustments</t>
  </si>
  <si>
    <t>Variance</t>
  </si>
  <si>
    <t>SOLDOTNA ELEMENTARY CHARTER SCHOOL</t>
  </si>
  <si>
    <t>FY28 Foundation Funding</t>
  </si>
  <si>
    <t xml:space="preserve">  </t>
  </si>
  <si>
    <t xml:space="preserve"> </t>
  </si>
  <si>
    <t>Variables:</t>
  </si>
  <si>
    <t>FTE Enrollment</t>
  </si>
  <si>
    <t>THIS FORMULA IS FOR 250 - 399.99 ONLY</t>
  </si>
  <si>
    <t>Is program funded as a separate school per statute (Yes or No)</t>
  </si>
  <si>
    <t>Yes</t>
  </si>
  <si>
    <t>ADM if funded as separate school</t>
  </si>
  <si>
    <t>ADM if funded as included in largest school (per statute)</t>
  </si>
  <si>
    <t>Intensive service students (as included in FTE enrollemnt)</t>
  </si>
  <si>
    <t>Correspondence students (not included in FTE enrollment)</t>
  </si>
  <si>
    <t>Estimated State Foundation Funding</t>
  </si>
  <si>
    <t>ADM as adjusted for school size 326.10 + (.97 * (ADM - 250))</t>
  </si>
  <si>
    <t>ADM as adjusted for district cost factor (*1.171)</t>
  </si>
  <si>
    <t>ADM as adjusted for special needs (*1.2)</t>
  </si>
  <si>
    <t>ADM as adjusted for HS Vocational Education (*1.015)</t>
  </si>
  <si>
    <t>ADM adjustment for intensive service counts (x13)</t>
  </si>
  <si>
    <t>ADM adjustment for correspondence students</t>
  </si>
  <si>
    <t>Adjusted ADM</t>
  </si>
  <si>
    <t>Base student allocation (BSA)</t>
  </si>
  <si>
    <t>Estimated State Foundation Funding (Basic Need)</t>
  </si>
  <si>
    <t>Quality Schools Funding</t>
  </si>
  <si>
    <t>Quality schools funding per adjusted ADM</t>
  </si>
  <si>
    <t>Total Estimated Revenue Per Capita Funding</t>
  </si>
  <si>
    <t>%</t>
  </si>
  <si>
    <t xml:space="preserve"> Less indirect cost rate *</t>
  </si>
  <si>
    <t>Funds available for operation</t>
  </si>
  <si>
    <t>Charter schools are capped at 4%</t>
  </si>
  <si>
    <t>KPBSD</t>
  </si>
  <si>
    <t>Charter School Information</t>
  </si>
  <si>
    <t>FY28 Projected Cost formulas</t>
  </si>
  <si>
    <t>Percent of Adjusted ADM</t>
  </si>
  <si>
    <t>For 100% Chargeable Costs</t>
  </si>
  <si>
    <t>Adjusted</t>
  </si>
  <si>
    <t>ADM</t>
  </si>
  <si>
    <t>Total District Adjusted ADM</t>
  </si>
  <si>
    <t>Soldotna Elementary CS</t>
  </si>
  <si>
    <t>Additional Allowable to Charter Schools Per HB 278</t>
  </si>
  <si>
    <t>FY28 Projected</t>
  </si>
  <si>
    <t>Borough Support</t>
  </si>
  <si>
    <t>KPB Scenario 2</t>
  </si>
  <si>
    <t>Required Contribution</t>
  </si>
  <si>
    <t>Additional Allowable Support</t>
  </si>
  <si>
    <t>Increase Per Adjusted ADM</t>
  </si>
  <si>
    <t>Soldotna El CS AADM</t>
  </si>
  <si>
    <t>FY28 Projected In-Kind Chargeable Costs</t>
  </si>
  <si>
    <t>Soldotna Elementary Charter</t>
  </si>
  <si>
    <t xml:space="preserve">District </t>
  </si>
  <si>
    <t>Cost</t>
  </si>
  <si>
    <t>Audit</t>
  </si>
  <si>
    <t>Custodial</t>
  </si>
  <si>
    <t>Maintenance</t>
  </si>
  <si>
    <t>Liability Insurance</t>
  </si>
  <si>
    <t>Property Insurance</t>
  </si>
  <si>
    <t>Workers' Compensation</t>
  </si>
  <si>
    <t>In-Kind &amp; Rent Summary Information</t>
  </si>
  <si>
    <t>Rent</t>
  </si>
  <si>
    <t xml:space="preserve">Additional </t>
  </si>
  <si>
    <t>Less</t>
  </si>
  <si>
    <t>Elligible</t>
  </si>
  <si>
    <t>Allowable</t>
  </si>
  <si>
    <t>In-kind</t>
  </si>
  <si>
    <t>AADM</t>
  </si>
  <si>
    <t>Per AADM</t>
  </si>
  <si>
    <t>Remainder</t>
  </si>
  <si>
    <t>Preliminary Foundation</t>
  </si>
  <si>
    <t>Preliminary Quality Schools</t>
  </si>
  <si>
    <t xml:space="preserve">Preliminary Additional Allowable </t>
  </si>
  <si>
    <t>Total Preliminary Revenue</t>
  </si>
  <si>
    <t>Proposed FY28 budget for 290 students</t>
  </si>
  <si>
    <t>Direct personnel costs</t>
  </si>
  <si>
    <t>Overall surplus / (shortfall)</t>
  </si>
  <si>
    <t>12 whole classroom teachers; the grade distribution assumes some combined-grade classes.</t>
  </si>
  <si>
    <t>Resource / intensive teachers</t>
  </si>
  <si>
    <t>3 resource and 2 intensive teachers. Related-service funding is included in Function 4220.</t>
  </si>
  <si>
    <t>Direct classified FTE</t>
  </si>
  <si>
    <t>Direct staffing FTE</t>
  </si>
  <si>
    <t>Salaries link to the proposed staffing plan on Staffing. Nurse .88 FTE is a school assumption; see README.</t>
  </si>
  <si>
    <t>District health estimate of $34,133.61 per FTE, applied to the proposed staffing plan.</t>
  </si>
  <si>
    <t>Employer payroll costs use district TRS, PERS, Social Security, Medicare, life and unemployment rates.</t>
  </si>
  <si>
    <t>$275 per direct teacher FTE, from Inputs!B23 and Staffing!B14.</t>
  </si>
  <si>
    <t>Special education support (4220)</t>
  </si>
  <si>
    <t>Retained $221,218 Function 4220 allowance. This plan includes SLP, psychologist and SLP aide funding here, with zero separate payroll charges; see README.</t>
  </si>
  <si>
    <t>Midpoint: district FY28 estimate $5,000 and Finance-labeled FY26 actual $826 = $2,913.</t>
  </si>
  <si>
    <t>District FY28 estimate $133,223 remains a direct expense. Utilities are excluded from the in-kind revenue deduction to avoid counting this cost twice.</t>
  </si>
  <si>
    <t>Midpoint: district FY28 estimate $5,000 and Finance-labeled FY26 actual $2,463 = $3,731.50.</t>
  </si>
  <si>
    <t>Midpoint: district FY28 estimate $25,000 and Finance-labeled FY26 actual $21,046 = $23,023.</t>
  </si>
  <si>
    <t>Midpoint: district FY28 estimate $650 and Finance-labeled FY26 actual $924 = $787.</t>
  </si>
  <si>
    <t>District FY28 technology estimate $5,000. Existing-equipment retention and replacement requirements are cost assumptions described in README.</t>
  </si>
  <si>
    <t>Other budgeted costs</t>
  </si>
  <si>
    <t>Additional service adjustments</t>
  </si>
  <si>
    <t>Additional contracts and other annual costs, less any verified duplicate charge, from Rules and Capacity!B34:B36.</t>
  </si>
  <si>
    <t>Total projected expenditures</t>
  </si>
  <si>
    <t>Direct personnel, other budgeted costs and additional service adjustments.</t>
  </si>
  <si>
    <t>Adjusted district funding after indirect, in-kind and rent charges, rounded to whole dollars. No Title I or unawarded grant revenue is included.</t>
  </si>
  <si>
    <t>Net operating funds less total projected expenditures.</t>
  </si>
  <si>
    <t>Direct certified staffing</t>
  </si>
  <si>
    <t>SpEd aides</t>
  </si>
  <si>
    <t>Direct classified staffing</t>
  </si>
  <si>
    <t>FY27 source grades</t>
  </si>
  <si>
    <t>Assumed proportional</t>
  </si>
  <si>
    <t>Assumed whole</t>
  </si>
  <si>
    <t>FY27 source grades total 245. Scaling to 290 is a planning assumption.</t>
  </si>
  <si>
    <t>PTRs allocate FTE; this source does not establish absolute class-size caps.</t>
  </si>
  <si>
    <t>12 teachers is a whole-FTE planning option; an approved schedule is still required.</t>
  </si>
  <si>
    <t>Source: FY27 Certified Staffing Formula, 12/5/2025, pages 1–2, school 43 Soldotna Elementary.</t>
  </si>
  <si>
    <t>Total Revenue!B15: adjusted school funding less retained district indirect and rent charges; net funds rounded to whole dollars.</t>
  </si>
  <si>
    <t>SoEl CS!J9: district enrollment assumption, 290 students.</t>
  </si>
  <si>
    <t>District Budget!B3; district average salary, not a position-specific FY28 quote.</t>
  </si>
  <si>
    <t>District Budget!B12; district average administrator salary.</t>
  </si>
  <si>
    <t>District Budget!B21; blended classified wage proxy, including nurse in this plan.</t>
  </si>
  <si>
    <t>District Budget!B4 = $32,508.20 × 1.05. Charged per FTE; covered employee headcount remains unconfirmed.</t>
  </si>
  <si>
    <t>School planning assumption: midpoint of District Budget!C42 (FY28 estimate) and D42 (Finance-labeled FY26 actual). Formula averages the two source values.</t>
  </si>
  <si>
    <t>District Budget!C43 ($133,223) remains a direct operating expense. The school revenue bridge excludes the district in-kind utilities line to avoid counting it twice.</t>
  </si>
  <si>
    <t>School planning assumption: midpoint of District Budget!C44 (FY28 estimate) and D44 (Finance-labeled FY26 actual). Formula averages the two source values.</t>
  </si>
  <si>
    <t>School planning assumption: midpoint of District Budget!C45 (FY28 estimate) and D45 (Finance-labeled FY26 actual). Formula averages the two source values.</t>
  </si>
  <si>
    <t>School planning assumption: midpoint of District Budget!C46 (FY28 estimate) and D46 (Finance-labeled FY26 actual). Formula averages the two source values.</t>
  </si>
  <si>
    <t>Director reported SpEd certified FTE</t>
  </si>
  <si>
    <t>Director reference: 4 resource, 2 intensive, .75 SLP and 1 psychologist. Proposed teacher FTE are entered on Rules and Capacity; SLP/psychologist funding is included within 4220.</t>
  </si>
  <si>
    <t>Director reported aide / contract FTE</t>
  </si>
  <si>
    <t>Director reference: 7.92 intensive aides, .35 SLP aide and .88 contracted equivalents. Proposed aide FTE are entered on Rules and Capacity; SLP aide funding is included within 4220.</t>
  </si>
  <si>
    <t>FY26 Final Budget printed p.9: .44 FTE at 276+ students; FY28 allocation unconfirmed.</t>
  </si>
  <si>
    <t>Director reported office support FTE</t>
  </si>
  <si>
    <t>Director reported custodian FTE</t>
  </si>
  <si>
    <t>FY27 certified staffing formula, page 2: .50 FTE at enrollment 200–350. FY28 use assumed.</t>
  </si>
  <si>
    <t>School planning requirement: 3 specialists (Music, Science, PE); FY27 district formula at 290 allocates 2.</t>
  </si>
  <si>
    <t>District Budget!C11 (1 principal).</t>
  </si>
  <si>
    <t>District Budget!C2 (24.75 total teacher FTE).</t>
  </si>
  <si>
    <t>District Budget!C20 (15.09 classified equivalents); .88 contracted equivalents is a payroll proxy.</t>
  </si>
  <si>
    <t>District Budget tab in this upload, reconciled to Finance cost sheet Pasted markdown(5).md (Oct. 9, 2026).</t>
  </si>
  <si>
    <t>The uploaded revised workbook supplies planning choices; it is not district evidence for those choices.</t>
  </si>
  <si>
    <t>The proposed plan includes SLP, psychologist and SLP aide funding within 4220, with zero separate payroll charge. Confirm service coverage and the school allocation.</t>
  </si>
  <si>
    <t>District rates retained. Full health cost per FTE, blended wages and fractional-FTE benefits are proxies.</t>
  </si>
  <si>
    <t>Retained 4220 budget covers related services in the proposed plan. Confirm which salaries, benefits and central contracts it includes before adding or deducting costs.</t>
  </si>
  <si>
    <t>FY27 source grades total 245; proportional scaling to 290 is assumed, not an actual FY28 roster.</t>
  </si>
  <si>
    <t>Custodian formula assumption</t>
  </si>
  <si>
    <t>District Budget!D40:D47: Finance-labeled FY26 actuals; not independently reconciled to an EOY ledger.</t>
  </si>
  <si>
    <t>Director clarification in this conversation (Oct. 9, 2026); no underlying allocation worksheet supplied.</t>
  </si>
  <si>
    <t>Director reference only. This service is funded within 4220 for the proposed plan, with zero separate payroll FTE. Finance allocation pending.</t>
  </si>
  <si>
    <t>24.75 source total less director 7.75 SpEd = 17.00 general education; role split remains unconfirmed.</t>
  </si>
  <si>
    <t>Linked to the single support calculation on Rules and Capacity; FY26 p.9 rule, FY28 use assumed.</t>
  </si>
  <si>
    <t>Linked to Rules and Capacity; unrounded allocation benchmark, not confirmed FY28 minimum.</t>
  </si>
  <si>
    <t>District document parameters — FY28 application requires confirmation</t>
  </si>
  <si>
    <t>FY26 Final Budget, printed p.233, Soldotna Elem total SF. Assumes existing building.</t>
  </si>
  <si>
    <t>Custodian square feet / FTE</t>
  </si>
  <si>
    <t>FY26 Final Budget, printed p.9: elementary custodial formula.</t>
  </si>
  <si>
    <t>Custodian students / FTE</t>
  </si>
  <si>
    <t>Secretary / library threshold</t>
  </si>
  <si>
    <t>FY26 Final Budget, printed p.9: secretary 1 at &lt;=275; enrollment/275 above.</t>
  </si>
  <si>
    <t>Library aide FTE at &lt;=275</t>
  </si>
  <si>
    <t>FY26 Final Budget, printed p.9.</t>
  </si>
  <si>
    <t>Library aide FTE at &gt;=276</t>
  </si>
  <si>
    <t>Large elementary threshold</t>
  </si>
  <si>
    <t>FY27 certified staffing formula (12/5/2025), page 2: K–6 &gt;=250.</t>
  </si>
  <si>
    <t>Kindergarten allocation PTR</t>
  </si>
  <si>
    <t>FY27 certified staffing formula, page 2, K–6 &gt;=250.</t>
  </si>
  <si>
    <t>Grades 1–3 allocation PTR</t>
  </si>
  <si>
    <t>Grades 4–6 allocation PTR</t>
  </si>
  <si>
    <t>District specialists at 290</t>
  </si>
  <si>
    <t>FY27 certified staffing formula, page 2: 2.0 FTE at 270–345; school plans 3.</t>
  </si>
  <si>
    <t>Intervention lower threshold</t>
  </si>
  <si>
    <t>FY27 certified staffing formula, page 2: .50 at 200–350.</t>
  </si>
  <si>
    <t>Intervention upper threshold</t>
  </si>
  <si>
    <t>FY27 certified staffing formula, page 2: 1.0 above 350.</t>
  </si>
  <si>
    <t>FTE rounding lower fraction</t>
  </si>
  <si>
    <t>FY27 certified staffing formula, page 2 footnote: &lt;=.30 rounds down.</t>
  </si>
  <si>
    <t>FTE rounding upper fraction</t>
  </si>
  <si>
    <t>FY27 certified staffing formula, page 2 footnote: &gt;=.70 rounds up.</t>
  </si>
  <si>
    <t>Intervention FTE at 200–350</t>
  </si>
  <si>
    <t>FY27 certified staffing formula, page 2.</t>
  </si>
  <si>
    <t>Small elementary all-grade PTR</t>
  </si>
  <si>
    <t>FY27 certified staffing formula, page 2: K–6 small schools 100–250.</t>
  </si>
  <si>
    <t>Small elementary threshold</t>
  </si>
  <si>
    <t>FY27 certified staffing formula, page 2. Below 100 requires another formula.</t>
  </si>
  <si>
    <t>FY28 staffing and cost assumptions for the school operating budget.</t>
  </si>
  <si>
    <t>Basis / assumptions</t>
  </si>
  <si>
    <t>Unrounded custodian allocation × school cost share. Building and sharing assumptions are documented in README.</t>
  </si>
  <si>
    <t>SoEl CS!J13: district input of 15; not verification of an actual funded roster.</t>
  </si>
  <si>
    <t>School service assumptions</t>
  </si>
  <si>
    <t>FTE and annual costs used in the budget; each basis is described on its row.</t>
  </si>
  <si>
    <t>Uploaded planning assumption 2.00 matches director; current intensive workload/allocation unverified.</t>
  </si>
  <si>
    <t>Included in the retained Function 4220 support-services budget for this plan. No separate SLP payroll charge. Finance must confirm the school allocation.</t>
  </si>
  <si>
    <t>Included in the retained Function 4220 support-services budget for this plan. No separate psychologist payroll charge. Finance must confirm the school allocation.</t>
  </si>
  <si>
    <t>Uploaded zero; resource aide requirements unconfirmed.</t>
  </si>
  <si>
    <t>Uploaded planning assumption 7.33; director lists 7.92. No current IEP coverage schedule supplied.</t>
  </si>
  <si>
    <t>Included in the retained Function 4220 support-services budget for this plan. No separate SLP aide payroll charge. Finance must confirm the school allocation.</t>
  </si>
  <si>
    <t>Uploaded planning assumption .88 nurse FTE. Director .88 is CONTRACTED SERVICES, not a nurse allocation.</t>
  </si>
  <si>
    <t>Uploaded zero assumes no additional contract cost beyond $221,218; no invoices/scope supplied.</t>
  </si>
  <si>
    <t>Uploaded zero assumes no additional required annual costs; role-specific nurse pay/benefits may differ.</t>
  </si>
  <si>
    <t>No overlap credit assumed. Deduct only verified duplicate charges, up to the retained $221,218 allowance.</t>
  </si>
  <si>
    <t>Resource + intensive teachers, plus any incremental SLP/psychologist FTE outside the retained 4220 budget. Current separate SLP/psychologist entries are zero.</t>
  </si>
  <si>
    <t>Resource + intensive aides + nurse, plus any incremental SLP aide FTE outside 4220. Current separate SLP aide entry is zero.</t>
  </si>
  <si>
    <t>Base staffing and operating costs</t>
  </si>
  <si>
    <t>General staffing, formula support and operating assumptions on Inputs. Travel, purchased services, supplies and dues use the estimate/actual midpoint.</t>
  </si>
  <si>
    <t>Estimated additional service cost</t>
  </si>
  <si>
    <t>Estimated total projected spending</t>
  </si>
  <si>
    <t>Base costs plus specialized staffing and additional service adjustments.</t>
  </si>
  <si>
    <t>Net operating revenue less total projected expenditures.</t>
  </si>
  <si>
    <t>School</t>
  </si>
  <si>
    <t>FY28 school operating revenue</t>
  </si>
  <si>
    <t>Soldotna Elementary</t>
  </si>
  <si>
    <t>Excluded from the school plan per requested funding treatment. The district estimate remains on SoEl CS.</t>
  </si>
  <si>
    <t>Less indirect cost</t>
  </si>
  <si>
    <t>Retained district indirect charge from SoEl CS!J36, as specified in the revenue table. It has not been recomputed after excluding Quality Schools revenue.</t>
  </si>
  <si>
    <t>Less in-kind charges</t>
  </si>
  <si>
    <t>District in-kind total less custodial (D10) and utilities (D12). The plan already budgets these costs directly. The district source schedule is unchanged.</t>
  </si>
  <si>
    <t>Less facility rent</t>
  </si>
  <si>
    <t>Retained district rent calculation from Rent 625!E10, as specified in the revenue table.</t>
  </si>
  <si>
    <t>Net funds, whole dollars</t>
  </si>
  <si>
    <t>District Budget!C47 ($5,000). Actual equipment need unresolved.</t>
  </si>
  <si>
    <t xml:space="preserve">District Budget!B5 (12.56%); </t>
  </si>
  <si>
    <t xml:space="preserve">District Budget!B23 (22%); </t>
  </si>
  <si>
    <t xml:space="preserve">District Budget!B24 (6.2%); </t>
  </si>
  <si>
    <t>District Budget!B6 (1.45%);</t>
  </si>
  <si>
    <t>District Budget!B7 (0.15%);</t>
  </si>
  <si>
    <t xml:space="preserve">District Budget!B8 (0.15%); </t>
  </si>
  <si>
    <t xml:space="preserve">District Budget!C30 ($20,000 wages); </t>
  </si>
  <si>
    <t xml:space="preserve">District Budget!B40 </t>
  </si>
  <si>
    <t>District Budget!C41 ($221,218).  4220 allowance includes SLP/psychologist/SLP aide funding for this plan. School allocation and central OT/PT charges require Finance confirmation.</t>
  </si>
  <si>
    <t>Rounding, building assignment and sharing agreements remain unresolved.</t>
  </si>
  <si>
    <t xml:space="preserve">FY26 final budget printed p.233; </t>
  </si>
  <si>
    <t>Uploaded planning assumption 3.00;  Current resource caseload and approved allocation missing.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</si>
</sst>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\$#,##0;\(\$#,##0\);&quot;–&quot;"/>
    <numFmt numFmtId="165" formatCode="#,##0.00;\(#,##0.00\);&quot;–&quot;"/>
    <numFmt numFmtId="166" formatCode="0.0000"/>
    <numFmt numFmtId="167" formatCode="0.000"/>
    <numFmt numFmtId="168" formatCode="_(* #,##0.000_);_(* \(#,##0.000\);_(* &quot;-&quot;??_);_(@_)"/>
    <numFmt numFmtId="169" formatCode="_(&quot;$&quot;* #,##0_);_(&quot;$&quot;* \(#,##0\);_(&quot;$&quot;* &quot;-&quot;??_);_(@_)"/>
    <numFmt numFmtId="170" formatCode="#,##0.000"/>
    <numFmt numFmtId="171" formatCode="0.000%"/>
    <numFmt numFmtId="172" formatCode="\$#,##0.00;\(\$#,##0.00\);&quot;—&quot;"/>
  </numFmts>
  <fonts count="35">
    <font>
      <sz val="11"/>
      <name val="Carlito"/>
    </font>
    <font>
      <sz val="10"/>
      <color rgb="FF17232D"/>
      <name val="Arial"/>
      <family val="2"/>
    </font>
    <font>
      <b/>
      <sz val="15"/>
      <color rgb="FF17232D"/>
      <name val="Arial"/>
      <family val="2"/>
    </font>
    <font>
      <b/>
      <sz val="10"/>
      <color rgb="FFFFFFFF"/>
      <name val="Arial"/>
      <family val="2"/>
    </font>
    <font>
      <sz val="10"/>
      <color rgb="FF0000FF"/>
      <name val="Arial"/>
      <family val="2"/>
    </font>
    <font>
      <sz val="10"/>
      <color rgb="FF008040"/>
      <name val="Arial"/>
      <family val="2"/>
    </font>
    <font>
      <b/>
      <sz val="10"/>
      <color rgb="FF17232D"/>
      <name val="Arial"/>
      <family val="2"/>
    </font>
    <font>
      <b/>
      <sz val="10"/>
      <color rgb="FF008040"/>
      <name val="Arial"/>
      <family val="2"/>
    </font>
    <font>
      <sz val="11"/>
      <name val="Carlito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color rgb="FFFF0000"/>
      <name val="Arial"/>
      <family val="2"/>
    </font>
    <font>
      <b/>
      <u/>
      <sz val="10"/>
      <name val="Arial"/>
      <family val="2"/>
    </font>
    <font>
      <b/>
      <sz val="10"/>
      <color indexed="12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008040"/>
      <name val="Carlito"/>
    </font>
    <font>
      <b/>
      <sz val="10"/>
      <color rgb="FF243A49"/>
      <name val="Arial"/>
      <family val="2"/>
    </font>
    <font>
      <sz val="11"/>
      <color rgb="FF243A49"/>
      <name val="Carlito"/>
    </font>
    <font>
      <sz val="11"/>
      <name val="Arial"/>
      <family val="2"/>
    </font>
    <font>
      <sz val="10"/>
      <name val="Arial"/>
      <family val="2"/>
    </font>
    <font>
      <sz val="10"/>
      <color rgb="FF243A49"/>
      <name val="Arial"/>
      <family val="2"/>
    </font>
    <font>
      <b/>
      <sz val="10"/>
      <name val="Arial"/>
      <family val="2"/>
    </font>
    <font>
      <b/>
      <sz val="10"/>
      <color rgb="FF243A49"/>
      <name val="Arial"/>
      <family val="2"/>
    </font>
    <font>
      <sz val="10"/>
      <color rgb="FFC00000"/>
      <name val="Arial"/>
      <family val="2"/>
    </font>
    <font>
      <sz val="11"/>
      <color rgb="FFC00000"/>
      <name val="Carlito"/>
    </font>
    <font>
      <sz val="10"/>
      <color rgb="FF2159A6"/>
      <name val="Arial"/>
      <family val="2"/>
    </font>
    <font>
      <sz val="10"/>
      <color rgb="FFFFFFFF"/>
      <name val="Arial"/>
      <family val="2"/>
    </font>
    <font>
      <b/>
      <sz val="10"/>
      <color rgb="FFC00000"/>
      <name val="Arial"/>
      <family val="2"/>
    </font>
    <font>
      <sz val="10"/>
      <color rgb="FFC00000"/>
      <name val="Arial"/>
      <family val="2"/>
    </font>
    <font>
      <u/>
      <sz val="11"/>
      <color rgb="FFC00000"/>
      <name val="Calibri"/>
      <family val="2"/>
      <scheme val="minor"/>
    </font>
    <font>
      <b/>
      <sz val="13"/>
      <color rgb="FF243A49"/>
      <name val="Arial"/>
      <family val="2"/>
    </font>
    <font>
      <u/>
      <sz val="11"/>
      <color theme="10"/>
      <name val="Carlito"/>
    </font>
  </fonts>
  <fills count="14">
    <fill>
      <patternFill patternType="none"/>
    </fill>
    <fill>
      <patternFill patternType="gray125"/>
    </fill>
    <fill>
      <patternFill patternType="solid">
        <fgColor rgb="FF284B63"/>
      </patternFill>
    </fill>
    <fill>
      <patternFill patternType="solid">
        <fgColor rgb="FFFFF2CC"/>
      </patternFill>
    </fill>
    <fill>
      <patternFill patternType="solid">
        <fgColor rgb="FFFFFF00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rgb="FFFFC000"/>
      </patternFill>
    </fill>
    <fill>
      <patternFill patternType="solid">
        <fgColor rgb="FFFFF2CC"/>
      </patternFill>
    </fill>
    <fill>
      <patternFill patternType="solid">
        <fgColor rgb="FF284B63"/>
      </patternFill>
    </fill>
    <fill>
      <patternFill patternType="solid">
        <fgColor rgb="FFFFF2CC"/>
      </patternFill>
    </fill>
    <fill>
      <patternFill patternType="solid">
        <fgColor rgb="FF284B63"/>
      </patternFill>
    </fill>
    <fill>
      <patternFill patternType="solid">
        <fgColor rgb="FFE2EEF3"/>
      </patternFill>
    </fill>
    <fill>
      <patternFill patternType="solid">
        <fgColor rgb="FFE2EEF3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34" fillId="0" borderId="0" applyNumberFormat="0" applyFill="0" applyBorder="0" applyAlignment="0" applyProtection="0"/>
  </cellStyleXfs>
  <cellXfs count="1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165" fontId="4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65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65" fontId="7" fillId="0" borderId="0" xfId="0" applyNumberFormat="1" applyFont="1" applyAlignment="1">
      <alignment vertical="center"/>
    </xf>
    <xf numFmtId="165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167" fontId="0" fillId="0" borderId="0" xfId="0" applyNumberFormat="1"/>
    <xf numFmtId="43" fontId="0" fillId="0" borderId="0" xfId="1" applyFont="1"/>
    <xf numFmtId="10" fontId="0" fillId="0" borderId="0" xfId="0" applyNumberFormat="1"/>
    <xf numFmtId="43" fontId="0" fillId="0" borderId="1" xfId="1" applyFont="1" applyBorder="1"/>
    <xf numFmtId="43" fontId="0" fillId="0" borderId="0" xfId="1" applyFont="1" applyBorder="1"/>
    <xf numFmtId="43" fontId="0" fillId="0" borderId="0" xfId="0" applyNumberFormat="1"/>
    <xf numFmtId="43" fontId="0" fillId="0" borderId="2" xfId="0" applyNumberFormat="1" applyBorder="1"/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43" fontId="0" fillId="0" borderId="2" xfId="1" applyFont="1" applyBorder="1"/>
    <xf numFmtId="0" fontId="10" fillId="0" borderId="0" xfId="0" applyFont="1" applyAlignment="1">
      <alignment horizontal="center"/>
    </xf>
    <xf numFmtId="0" fontId="11" fillId="0" borderId="0" xfId="0" applyFont="1"/>
    <xf numFmtId="2" fontId="11" fillId="0" borderId="0" xfId="0" applyNumberFormat="1" applyFont="1"/>
    <xf numFmtId="0" fontId="12" fillId="0" borderId="0" xfId="0" applyFont="1" applyAlignment="1">
      <alignment horizontal="left"/>
    </xf>
    <xf numFmtId="0" fontId="10" fillId="0" borderId="0" xfId="0" applyFont="1"/>
    <xf numFmtId="0" fontId="13" fillId="0" borderId="0" xfId="0" applyFont="1"/>
    <xf numFmtId="0" fontId="10" fillId="5" borderId="0" xfId="0" applyFont="1" applyFill="1"/>
    <xf numFmtId="0" fontId="0" fillId="5" borderId="0" xfId="0" applyFill="1"/>
    <xf numFmtId="168" fontId="13" fillId="0" borderId="0" xfId="1" applyNumberFormat="1" applyFont="1" applyAlignment="1">
      <alignment horizontal="right"/>
    </xf>
    <xf numFmtId="168" fontId="14" fillId="0" borderId="0" xfId="1" applyNumberFormat="1" applyFont="1" applyFill="1" applyBorder="1" applyAlignment="1">
      <alignment horizontal="right"/>
    </xf>
    <xf numFmtId="168" fontId="8" fillId="0" borderId="0" xfId="1" applyNumberFormat="1"/>
    <xf numFmtId="0" fontId="15" fillId="0" borderId="0" xfId="0" applyFont="1"/>
    <xf numFmtId="0" fontId="14" fillId="0" borderId="0" xfId="0" applyFont="1"/>
    <xf numFmtId="168" fontId="0" fillId="0" borderId="0" xfId="0" applyNumberFormat="1"/>
    <xf numFmtId="169" fontId="10" fillId="0" borderId="4" xfId="2" applyNumberFormat="1" applyFont="1" applyBorder="1"/>
    <xf numFmtId="9" fontId="0" fillId="0" borderId="0" xfId="0" applyNumberFormat="1"/>
    <xf numFmtId="169" fontId="10" fillId="0" borderId="0" xfId="2" applyNumberFormat="1" applyFont="1" applyBorder="1"/>
    <xf numFmtId="168" fontId="0" fillId="0" borderId="1" xfId="0" applyNumberFormat="1" applyBorder="1"/>
    <xf numFmtId="169" fontId="10" fillId="0" borderId="1" xfId="2" applyNumberFormat="1" applyFont="1" applyBorder="1"/>
    <xf numFmtId="169" fontId="10" fillId="0" borderId="1" xfId="0" applyNumberFormat="1" applyFont="1" applyBorder="1"/>
    <xf numFmtId="0" fontId="0" fillId="0" borderId="0" xfId="0" applyAlignment="1">
      <alignment horizontal="center"/>
    </xf>
    <xf numFmtId="169" fontId="10" fillId="0" borderId="5" xfId="0" applyNumberFormat="1" applyFont="1" applyBorder="1"/>
    <xf numFmtId="169" fontId="0" fillId="0" borderId="0" xfId="0" applyNumberFormat="1"/>
    <xf numFmtId="0" fontId="9" fillId="0" borderId="0" xfId="0" applyFont="1"/>
    <xf numFmtId="4" fontId="0" fillId="0" borderId="0" xfId="0" applyNumberFormat="1" applyAlignment="1">
      <alignment horizontal="center"/>
    </xf>
    <xf numFmtId="4" fontId="0" fillId="0" borderId="0" xfId="0" applyNumberFormat="1"/>
    <xf numFmtId="0" fontId="16" fillId="0" borderId="0" xfId="0" applyFont="1"/>
    <xf numFmtId="42" fontId="0" fillId="0" borderId="0" xfId="2" applyNumberFormat="1" applyFont="1"/>
    <xf numFmtId="44" fontId="0" fillId="0" borderId="0" xfId="0" applyNumberFormat="1"/>
    <xf numFmtId="44" fontId="0" fillId="0" borderId="0" xfId="2" applyFont="1"/>
    <xf numFmtId="0" fontId="9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171" fontId="0" fillId="0" borderId="0" xfId="0" applyNumberFormat="1" applyAlignment="1">
      <alignment horizontal="center"/>
    </xf>
    <xf numFmtId="42" fontId="17" fillId="0" borderId="0" xfId="2" applyNumberFormat="1" applyFont="1"/>
    <xf numFmtId="167" fontId="0" fillId="0" borderId="0" xfId="0" applyNumberFormat="1" applyAlignment="1">
      <alignment horizontal="center"/>
    </xf>
    <xf numFmtId="6" fontId="0" fillId="0" borderId="0" xfId="0" applyNumberFormat="1" applyAlignment="1">
      <alignment horizontal="center"/>
    </xf>
    <xf numFmtId="169" fontId="0" fillId="0" borderId="0" xfId="2" applyNumberFormat="1" applyFont="1"/>
    <xf numFmtId="169" fontId="0" fillId="0" borderId="0" xfId="2" applyNumberFormat="1" applyFont="1" applyAlignment="1">
      <alignment horizontal="center"/>
    </xf>
    <xf numFmtId="167" fontId="17" fillId="0" borderId="0" xfId="0" applyNumberFormat="1" applyFont="1" applyAlignment="1">
      <alignment horizontal="center"/>
    </xf>
    <xf numFmtId="170" fontId="18" fillId="0" borderId="0" xfId="0" applyNumberFormat="1" applyFont="1"/>
    <xf numFmtId="170" fontId="18" fillId="0" borderId="0" xfId="0" applyNumberFormat="1" applyFont="1" applyAlignment="1">
      <alignment horizontal="center"/>
    </xf>
    <xf numFmtId="171" fontId="18" fillId="0" borderId="0" xfId="0" applyNumberFormat="1" applyFont="1" applyAlignment="1">
      <alignment horizontal="center"/>
    </xf>
    <xf numFmtId="169" fontId="18" fillId="0" borderId="0" xfId="0" applyNumberFormat="1" applyFont="1"/>
    <xf numFmtId="169" fontId="18" fillId="0" borderId="0" xfId="0" applyNumberFormat="1" applyFont="1" applyAlignment="1">
      <alignment horizontal="center"/>
    </xf>
    <xf numFmtId="167" fontId="18" fillId="0" borderId="0" xfId="0" applyNumberFormat="1" applyFont="1" applyAlignment="1">
      <alignment horizontal="center"/>
    </xf>
    <xf numFmtId="169" fontId="19" fillId="0" borderId="0" xfId="0" applyNumberFormat="1" applyFont="1"/>
    <xf numFmtId="169" fontId="20" fillId="0" borderId="0" xfId="0" applyNumberFormat="1" applyFont="1"/>
    <xf numFmtId="0" fontId="21" fillId="0" borderId="0" xfId="0" applyFont="1"/>
    <xf numFmtId="0" fontId="22" fillId="0" borderId="0" xfId="0" applyFont="1"/>
    <xf numFmtId="172" fontId="22" fillId="0" borderId="0" xfId="0" applyNumberFormat="1" applyFont="1"/>
    <xf numFmtId="164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10" fontId="26" fillId="0" borderId="0" xfId="0" applyNumberFormat="1" applyFont="1" applyAlignment="1">
      <alignment vertical="center"/>
    </xf>
    <xf numFmtId="165" fontId="26" fillId="0" borderId="0" xfId="0" applyNumberFormat="1" applyFont="1" applyAlignment="1">
      <alignment vertical="center"/>
    </xf>
    <xf numFmtId="165" fontId="28" fillId="8" borderId="0" xfId="0" applyNumberFormat="1" applyFont="1" applyFill="1" applyAlignment="1">
      <alignment vertical="center"/>
    </xf>
    <xf numFmtId="164" fontId="28" fillId="8" borderId="0" xfId="0" applyNumberFormat="1" applyFont="1" applyFill="1" applyAlignment="1">
      <alignment vertical="center"/>
    </xf>
    <xf numFmtId="0" fontId="23" fillId="0" borderId="0" xfId="0" applyFont="1" applyAlignment="1">
      <alignment vertical="center"/>
    </xf>
    <xf numFmtId="172" fontId="5" fillId="0" borderId="0" xfId="0" applyNumberFormat="1" applyFont="1" applyAlignment="1">
      <alignment vertical="center"/>
    </xf>
    <xf numFmtId="0" fontId="22" fillId="0" borderId="0" xfId="0" applyFont="1" applyAlignment="1">
      <alignment vertical="top" wrapText="1"/>
    </xf>
    <xf numFmtId="0" fontId="29" fillId="9" borderId="0" xfId="0" applyFont="1" applyFill="1" applyAlignment="1">
      <alignment vertical="top" wrapText="1"/>
    </xf>
    <xf numFmtId="0" fontId="26" fillId="0" borderId="0" xfId="0" applyFont="1" applyAlignment="1">
      <alignment vertical="top" wrapText="1"/>
    </xf>
    <xf numFmtId="1" fontId="26" fillId="0" borderId="0" xfId="0" applyNumberFormat="1" applyFont="1" applyAlignment="1">
      <alignment vertical="center"/>
    </xf>
    <xf numFmtId="43" fontId="27" fillId="0" borderId="0" xfId="0" applyNumberFormat="1" applyFont="1"/>
    <xf numFmtId="10" fontId="27" fillId="0" borderId="0" xfId="0" applyNumberFormat="1" applyFont="1"/>
    <xf numFmtId="43" fontId="27" fillId="4" borderId="0" xfId="0" applyNumberFormat="1" applyFont="1" applyFill="1"/>
    <xf numFmtId="43" fontId="27" fillId="0" borderId="1" xfId="0" applyNumberFormat="1" applyFont="1" applyBorder="1"/>
    <xf numFmtId="43" fontId="27" fillId="0" borderId="3" xfId="0" applyNumberFormat="1" applyFont="1" applyBorder="1"/>
    <xf numFmtId="168" fontId="30" fillId="4" borderId="0" xfId="0" applyNumberFormat="1" applyFont="1" applyFill="1"/>
    <xf numFmtId="168" fontId="31" fillId="0" borderId="0" xfId="0" applyNumberFormat="1" applyFont="1" applyAlignment="1">
      <alignment horizontal="right"/>
    </xf>
    <xf numFmtId="168" fontId="31" fillId="0" borderId="0" xfId="0" applyNumberFormat="1" applyFont="1"/>
    <xf numFmtId="169" fontId="30" fillId="6" borderId="0" xfId="0" applyNumberFormat="1" applyFont="1" applyFill="1"/>
    <xf numFmtId="44" fontId="30" fillId="0" borderId="0" xfId="0" applyNumberFormat="1" applyFont="1"/>
    <xf numFmtId="166" fontId="31" fillId="7" borderId="0" xfId="0" applyNumberFormat="1" applyFont="1" applyFill="1" applyAlignment="1">
      <alignment horizontal="center"/>
    </xf>
    <xf numFmtId="4" fontId="27" fillId="0" borderId="0" xfId="0" applyNumberFormat="1" applyFont="1" applyAlignment="1">
      <alignment horizontal="center"/>
    </xf>
    <xf numFmtId="42" fontId="27" fillId="0" borderId="0" xfId="0" applyNumberFormat="1" applyFont="1"/>
    <xf numFmtId="4" fontId="32" fillId="0" borderId="0" xfId="0" applyNumberFormat="1" applyFont="1" applyAlignment="1">
      <alignment horizontal="center"/>
    </xf>
    <xf numFmtId="6" fontId="27" fillId="0" borderId="0" xfId="0" applyNumberFormat="1" applyFont="1" applyAlignment="1">
      <alignment horizontal="center"/>
    </xf>
    <xf numFmtId="42" fontId="32" fillId="0" borderId="0" xfId="0" applyNumberFormat="1" applyFont="1"/>
    <xf numFmtId="44" fontId="17" fillId="0" borderId="0" xfId="0" applyNumberFormat="1" applyFont="1"/>
    <xf numFmtId="169" fontId="17" fillId="0" borderId="0" xfId="0" applyNumberFormat="1" applyFont="1"/>
    <xf numFmtId="169" fontId="17" fillId="0" borderId="0" xfId="0" applyNumberFormat="1" applyFont="1" applyAlignment="1">
      <alignment horizontal="center"/>
    </xf>
    <xf numFmtId="165" fontId="28" fillId="10" borderId="0" xfId="0" applyNumberFormat="1" applyFont="1" applyFill="1" applyAlignment="1">
      <alignment vertical="center" wrapText="1"/>
    </xf>
    <xf numFmtId="165" fontId="1" fillId="0" borderId="0" xfId="0" applyNumberFormat="1" applyFont="1" applyAlignment="1">
      <alignment vertical="center" wrapText="1"/>
    </xf>
    <xf numFmtId="164" fontId="26" fillId="0" borderId="0" xfId="0" applyNumberFormat="1" applyFont="1" applyAlignment="1">
      <alignment vertical="center" wrapText="1"/>
    </xf>
    <xf numFmtId="165" fontId="28" fillId="3" borderId="0" xfId="0" applyNumberFormat="1" applyFont="1" applyFill="1" applyAlignment="1">
      <alignment vertical="center" wrapText="1"/>
    </xf>
    <xf numFmtId="0" fontId="22" fillId="0" borderId="1" xfId="0" applyFont="1" applyBorder="1" applyAlignment="1">
      <alignment horizontal="right"/>
    </xf>
    <xf numFmtId="0" fontId="22" fillId="0" borderId="0" xfId="0" applyFont="1" applyAlignment="1">
      <alignment vertical="center"/>
    </xf>
    <xf numFmtId="172" fontId="28" fillId="0" borderId="0" xfId="0" applyNumberFormat="1" applyFont="1" applyAlignment="1">
      <alignment vertical="center"/>
    </xf>
    <xf numFmtId="172" fontId="5" fillId="0" borderId="1" xfId="0" applyNumberFormat="1" applyFont="1" applyBorder="1" applyAlignment="1">
      <alignment vertical="center"/>
    </xf>
    <xf numFmtId="172" fontId="22" fillId="4" borderId="0" xfId="0" applyNumberFormat="1" applyFont="1" applyFill="1" applyAlignment="1">
      <alignment vertical="center"/>
    </xf>
    <xf numFmtId="172" fontId="22" fillId="0" borderId="0" xfId="0" applyNumberFormat="1" applyFont="1" applyAlignment="1">
      <alignment vertical="center"/>
    </xf>
    <xf numFmtId="0" fontId="3" fillId="11" borderId="0" xfId="0" applyFont="1" applyFill="1"/>
    <xf numFmtId="0" fontId="3" fillId="11" borderId="0" xfId="0" applyFont="1" applyFill="1" applyAlignment="1">
      <alignment horizontal="right"/>
    </xf>
    <xf numFmtId="0" fontId="24" fillId="12" borderId="0" xfId="0" applyFont="1" applyFill="1"/>
    <xf numFmtId="172" fontId="25" fillId="12" borderId="0" xfId="0" applyNumberFormat="1" applyFont="1" applyFill="1"/>
    <xf numFmtId="0" fontId="23" fillId="0" borderId="0" xfId="0" applyFont="1" applyAlignment="1">
      <alignment vertical="top" wrapText="1"/>
    </xf>
    <xf numFmtId="0" fontId="26" fillId="0" borderId="0" xfId="0" applyFont="1" applyAlignment="1">
      <alignment vertical="center" wrapText="1"/>
    </xf>
    <xf numFmtId="165" fontId="5" fillId="0" borderId="0" xfId="0" applyNumberFormat="1" applyFont="1" applyAlignment="1">
      <alignment vertical="center" wrapText="1"/>
    </xf>
    <xf numFmtId="172" fontId="7" fillId="0" borderId="0" xfId="0" applyNumberFormat="1" applyFont="1" applyAlignment="1">
      <alignment vertical="center"/>
    </xf>
    <xf numFmtId="172" fontId="6" fillId="0" borderId="0" xfId="0" applyNumberFormat="1" applyFont="1" applyAlignment="1">
      <alignment vertical="center"/>
    </xf>
    <xf numFmtId="172" fontId="1" fillId="0" borderId="0" xfId="0" applyNumberFormat="1" applyFont="1" applyAlignment="1">
      <alignment vertical="center"/>
    </xf>
    <xf numFmtId="0" fontId="33" fillId="13" borderId="0" xfId="0" applyFont="1" applyFill="1" applyAlignment="1">
      <alignment vertical="center"/>
    </xf>
    <xf numFmtId="172" fontId="33" fillId="13" borderId="0" xfId="0" applyNumberFormat="1" applyFont="1" applyFill="1" applyAlignment="1">
      <alignment vertical="center"/>
    </xf>
    <xf numFmtId="0" fontId="14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22" fillId="0" borderId="0" xfId="0" applyFont="1" applyAlignment="1">
      <alignment wrapText="1"/>
    </xf>
    <xf numFmtId="0" fontId="0" fillId="0" borderId="0" xfId="0" applyAlignment="1">
      <alignment wrapText="1"/>
    </xf>
    <xf numFmtId="0" fontId="34" fillId="0" borderId="0" xfId="3" applyAlignment="1">
      <alignment vertical="center"/>
    </xf>
  </cellXfs>
  <cellStyles count="4">
    <cellStyle name="Comma" xfId="1" xr:uid="{00000000-0005-0000-0000-000000000000}"/>
    <cellStyle name="Currency" xfId="2" xr:uid="{00000000-0005-0000-0000-000001000000}"/>
    <cellStyle name="Hyperlink" xfId="3" builtinId="8"/>
    <cellStyle name="Normal" xfId="0" builtinId="0"/>
  </cellStyles>
  <dxfs count="12">
    <dxf>
      <font>
        <b/>
        <color rgb="FFA61C00"/>
      </font>
      <fill>
        <patternFill>
          <bgColor rgb="FFFCE8E6"/>
        </patternFill>
      </fill>
    </dxf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006100"/>
      </font>
      <fill>
        <patternFill patternType="solid">
          <bgColor rgb="FFE2F0D9"/>
        </patternFill>
      </fill>
    </dxf>
    <dxf>
      <font>
        <b/>
        <color rgb="FFA61C00"/>
      </font>
      <fill>
        <patternFill>
          <bgColor rgb="FFFCE8E6"/>
        </patternFill>
      </fill>
    </dxf>
    <dxf>
      <font>
        <b/>
        <color rgb="FF9C0006"/>
      </font>
      <fill>
        <patternFill>
          <bgColor rgb="FFFCE4D6"/>
        </patternFill>
      </fill>
    </dxf>
    <dxf>
      <font>
        <b/>
        <color rgb="FFA61C00"/>
      </font>
      <fill>
        <patternFill>
          <bgColor rgb="FFFCE8E6"/>
        </patternFill>
      </fill>
    </dxf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006100"/>
      </font>
      <fill>
        <patternFill patternType="solid">
          <bgColor rgb="FFE2F0D9"/>
        </patternFill>
      </fill>
    </dxf>
    <dxf>
      <font>
        <b/>
        <color rgb="FF9C0006"/>
      </font>
      <fill>
        <patternFill>
          <bgColor rgb="FFFCE4D6"/>
        </patternFill>
      </fill>
    </dxf>
    <dxf>
      <font>
        <b/>
        <color rgb="FFA61C00"/>
      </font>
      <fill>
        <patternFill>
          <bgColor rgb="FFFCE8E6"/>
        </patternFill>
      </fill>
    </dxf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006100"/>
      </font>
      <fill>
        <patternFill patternType="solid"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egov.kpbsd.org/api/v1/documents/5764/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84B63"/>
  </sheetPr>
  <dimension ref="A1:H86"/>
  <sheetViews>
    <sheetView showGridLines="0" tabSelected="1" workbookViewId="0">
      <selection activeCell="D5" sqref="D5"/>
    </sheetView>
  </sheetViews>
  <sheetFormatPr defaultRowHeight="14.25"/>
  <cols>
    <col min="1" max="1" width="45" style="73" customWidth="1"/>
    <col min="2" max="2" width="23" style="73" customWidth="1"/>
    <col min="3" max="3" width="17" style="73" customWidth="1"/>
    <col min="4" max="4" width="102.125" style="73" customWidth="1"/>
    <col min="5" max="8" width="17" style="73" customWidth="1"/>
    <col min="9" max="16384" width="9" style="73"/>
  </cols>
  <sheetData>
    <row r="1" spans="1:8" ht="19.5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264</v>
      </c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3" t="s">
        <v>1</v>
      </c>
      <c r="B6" s="3" t="s">
        <v>2</v>
      </c>
      <c r="C6" s="1"/>
      <c r="D6" s="1"/>
      <c r="E6" s="1"/>
      <c r="F6" s="1"/>
      <c r="G6" s="1"/>
      <c r="H6" s="1"/>
    </row>
    <row r="7" spans="1:8">
      <c r="A7" s="1" t="s">
        <v>3</v>
      </c>
      <c r="B7" s="126">
        <f>Budget!B24</f>
        <v>4527144</v>
      </c>
      <c r="C7" s="1"/>
      <c r="E7" s="1"/>
      <c r="F7" s="1"/>
      <c r="G7" s="1"/>
      <c r="H7" s="1"/>
    </row>
    <row r="8" spans="1:8">
      <c r="A8" s="1" t="s">
        <v>265</v>
      </c>
      <c r="B8" s="126">
        <f>Budget!B10</f>
        <v>4127949.5249219295</v>
      </c>
      <c r="C8" s="1"/>
      <c r="E8" s="1"/>
      <c r="F8" s="1"/>
      <c r="G8" s="1"/>
      <c r="H8" s="1"/>
    </row>
    <row r="9" spans="1:8">
      <c r="A9" s="1" t="s">
        <v>4</v>
      </c>
      <c r="B9" s="126">
        <f>SUM(Budget!B21:B22)</f>
        <v>395533</v>
      </c>
      <c r="C9" s="1"/>
      <c r="E9" s="1"/>
      <c r="F9" s="1"/>
      <c r="G9" s="1"/>
      <c r="H9" s="1"/>
    </row>
    <row r="10" spans="1:8">
      <c r="A10" s="1" t="s">
        <v>5</v>
      </c>
      <c r="B10" s="126">
        <f>Budget!B23</f>
        <v>4523482.5249219295</v>
      </c>
      <c r="C10" s="1"/>
      <c r="D10" s="1"/>
      <c r="E10" s="1"/>
      <c r="F10" s="1"/>
      <c r="G10" s="1"/>
      <c r="H10" s="1"/>
    </row>
    <row r="11" spans="1:8" ht="16.5">
      <c r="A11" s="127" t="s">
        <v>266</v>
      </c>
      <c r="B11" s="128">
        <f>Budget!B25</f>
        <v>3661.4750780705363</v>
      </c>
      <c r="C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3" t="s">
        <v>6</v>
      </c>
      <c r="B13" s="3" t="s">
        <v>7</v>
      </c>
      <c r="C13" s="1"/>
      <c r="D13" s="1"/>
      <c r="E13" s="1"/>
      <c r="F13" s="1"/>
      <c r="G13" s="1"/>
      <c r="H13" s="1"/>
    </row>
    <row r="14" spans="1:8">
      <c r="A14" s="1" t="s">
        <v>8</v>
      </c>
      <c r="B14" s="6">
        <f>Staffing!B7</f>
        <v>12</v>
      </c>
      <c r="C14" s="1"/>
      <c r="D14" s="129" t="s">
        <v>267</v>
      </c>
      <c r="E14" s="1"/>
      <c r="F14" s="1"/>
      <c r="G14" s="1"/>
      <c r="H14" s="1"/>
    </row>
    <row r="15" spans="1:8">
      <c r="A15" s="1" t="s">
        <v>9</v>
      </c>
      <c r="B15" s="6">
        <f>SUM(Staffing!B8:B10)</f>
        <v>3</v>
      </c>
      <c r="C15" s="1"/>
      <c r="D15" s="7"/>
      <c r="E15" s="1"/>
      <c r="F15" s="1"/>
      <c r="G15" s="1"/>
      <c r="H15" s="1"/>
    </row>
    <row r="16" spans="1:8">
      <c r="A16" s="1" t="s">
        <v>10</v>
      </c>
      <c r="B16" s="6">
        <f>Staffing!B11</f>
        <v>0.5</v>
      </c>
      <c r="C16" s="1"/>
      <c r="D16" s="7"/>
      <c r="E16" s="1"/>
      <c r="F16" s="1"/>
      <c r="G16" s="1"/>
      <c r="H16" s="1"/>
    </row>
    <row r="17" spans="1:8">
      <c r="A17" s="7" t="s">
        <v>268</v>
      </c>
      <c r="B17" s="123">
        <f>Staffing!B12</f>
        <v>5</v>
      </c>
      <c r="C17" s="7"/>
      <c r="D17" s="129" t="s">
        <v>269</v>
      </c>
      <c r="E17" s="1"/>
      <c r="F17" s="1"/>
      <c r="G17" s="1"/>
      <c r="H17" s="1"/>
    </row>
    <row r="18" spans="1:8">
      <c r="A18" s="1" t="s">
        <v>11</v>
      </c>
      <c r="B18" s="6">
        <f>Staffing!B13</f>
        <v>1</v>
      </c>
      <c r="C18" s="1"/>
      <c r="D18" s="1"/>
      <c r="E18" s="1"/>
      <c r="F18" s="1"/>
      <c r="G18" s="1"/>
      <c r="H18" s="1"/>
    </row>
    <row r="19" spans="1:8">
      <c r="A19" s="1" t="s">
        <v>270</v>
      </c>
      <c r="B19" s="6">
        <f>Staffing!B23</f>
        <v>12.218970454545456</v>
      </c>
      <c r="C19" s="1"/>
      <c r="D19" s="1"/>
      <c r="E19" s="1"/>
      <c r="F19" s="1"/>
      <c r="G19" s="1"/>
      <c r="H19" s="1"/>
    </row>
    <row r="20" spans="1:8">
      <c r="A20" s="12" t="s">
        <v>271</v>
      </c>
      <c r="B20" s="13">
        <f>Staffing!B27</f>
        <v>33.718970454545456</v>
      </c>
      <c r="C20" s="1"/>
      <c r="D20" s="1"/>
      <c r="E20" s="1"/>
      <c r="F20" s="1"/>
      <c r="G20" s="1"/>
      <c r="H20" s="1"/>
    </row>
    <row r="21" spans="1:8">
      <c r="A21" s="12"/>
      <c r="B21" s="12"/>
      <c r="C21" s="1"/>
      <c r="D21" s="1"/>
      <c r="E21" s="1"/>
      <c r="F21" s="1"/>
      <c r="G21" s="1"/>
      <c r="H21" s="1"/>
    </row>
    <row r="22" spans="1:8">
      <c r="A22" s="12"/>
      <c r="B22" s="12"/>
      <c r="C22" s="1"/>
      <c r="D22" s="1"/>
      <c r="E22" s="1"/>
      <c r="F22" s="1"/>
      <c r="G22" s="1"/>
      <c r="H22" s="1"/>
    </row>
    <row r="23" spans="1:8">
      <c r="A23" s="1" t="s">
        <v>12</v>
      </c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 t="s">
        <v>13</v>
      </c>
      <c r="B25" s="6">
        <f>Enrollment!F14</f>
        <v>11.593719248705773</v>
      </c>
      <c r="C25" s="1"/>
      <c r="D25" s="1"/>
      <c r="E25" s="1"/>
      <c r="F25" s="1"/>
      <c r="G25" s="1"/>
      <c r="H25" s="1"/>
    </row>
    <row r="26" spans="1:8">
      <c r="A26" s="1" t="s">
        <v>14</v>
      </c>
      <c r="B26" s="6">
        <f>Enrollment!B18</f>
        <v>11.5</v>
      </c>
      <c r="C26" s="1"/>
      <c r="D26" s="1"/>
      <c r="E26" s="1"/>
      <c r="F26" s="1"/>
      <c r="G26" s="1"/>
      <c r="H26" s="1"/>
    </row>
    <row r="27" spans="1:8">
      <c r="A27" s="1" t="s">
        <v>15</v>
      </c>
      <c r="B27" s="6">
        <f>Enrollment!B19</f>
        <v>12</v>
      </c>
      <c r="C27" s="1"/>
      <c r="D27" s="1"/>
      <c r="E27" s="1"/>
      <c r="F27" s="1"/>
      <c r="G27" s="1"/>
      <c r="H27" s="1"/>
    </row>
    <row r="28" spans="1:8">
      <c r="A28" s="1"/>
      <c r="B28" s="6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E32" s="1"/>
      <c r="F32" s="1"/>
      <c r="G32" s="1"/>
      <c r="H32" s="1"/>
    </row>
    <row r="33" spans="1:8">
      <c r="E33" s="1"/>
      <c r="F33" s="1"/>
      <c r="G33" s="1"/>
      <c r="H33" s="1"/>
    </row>
    <row r="34" spans="1:8">
      <c r="E34" s="1"/>
      <c r="F34" s="1"/>
      <c r="G34" s="1"/>
      <c r="H34" s="1"/>
    </row>
    <row r="35" spans="1:8">
      <c r="E35" s="1"/>
      <c r="F35" s="1"/>
      <c r="G35" s="1"/>
      <c r="H35" s="1"/>
    </row>
    <row r="36" spans="1:8"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E39" s="1"/>
      <c r="F39" s="1"/>
      <c r="G39" s="1"/>
      <c r="H39" s="1"/>
    </row>
    <row r="40" spans="1:8">
      <c r="E40" s="1"/>
      <c r="F40" s="1"/>
      <c r="G40" s="1"/>
      <c r="H40" s="1"/>
    </row>
    <row r="41" spans="1:8">
      <c r="E41" s="1"/>
      <c r="F41" s="1"/>
      <c r="G41" s="1"/>
      <c r="H41" s="1"/>
    </row>
    <row r="42" spans="1:8">
      <c r="E42" s="1"/>
      <c r="F42" s="1"/>
      <c r="G42" s="1"/>
      <c r="H42" s="1"/>
    </row>
    <row r="43" spans="1:8"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</sheetData>
  <conditionalFormatting sqref="B11">
    <cfRule type="cellIs" dxfId="11" priority="4" operator="greaterThanOrEqual">
      <formula>0</formula>
    </cfRule>
    <cfRule type="cellIs" dxfId="10" priority="5" operator="lessThan">
      <formula>0</formula>
    </cfRule>
  </conditionalFormatting>
  <conditionalFormatting sqref="B30">
    <cfRule type="cellIs" dxfId="9" priority="2" operator="greaterThan">
      <formula>0</formula>
    </cfRule>
  </conditionalFormatting>
  <conditionalFormatting sqref="B41:B43">
    <cfRule type="cellIs" dxfId="8" priority="3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9"/>
  <sheetViews>
    <sheetView showGridLines="0" workbookViewId="0">
      <selection activeCell="D29" sqref="D29"/>
    </sheetView>
  </sheetViews>
  <sheetFormatPr defaultRowHeight="14.25"/>
  <cols>
    <col min="1" max="1" width="44" customWidth="1"/>
    <col min="2" max="3" width="17" customWidth="1"/>
    <col min="4" max="4" width="160.875" customWidth="1"/>
    <col min="5" max="8" width="17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9.5">
      <c r="A2" s="2" t="s">
        <v>16</v>
      </c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3" t="s">
        <v>17</v>
      </c>
      <c r="B6" s="3" t="s">
        <v>18</v>
      </c>
      <c r="C6" s="1"/>
      <c r="D6" s="1"/>
      <c r="E6" s="1"/>
      <c r="F6" s="1"/>
      <c r="G6" s="1"/>
      <c r="H6" s="1"/>
    </row>
    <row r="7" spans="1:8">
      <c r="A7" s="1" t="s">
        <v>19</v>
      </c>
      <c r="B7" s="11">
        <f>Staffing!D27</f>
        <v>2524708.707368182</v>
      </c>
      <c r="C7" s="1"/>
      <c r="D7" s="121" t="s">
        <v>272</v>
      </c>
      <c r="E7" s="1"/>
      <c r="F7" s="1"/>
      <c r="G7" s="1"/>
      <c r="H7" s="1"/>
    </row>
    <row r="8" spans="1:8">
      <c r="A8" s="1" t="s">
        <v>20</v>
      </c>
      <c r="B8" s="11">
        <f>Staffing!E27</f>
        <v>1150950.1870969771</v>
      </c>
      <c r="C8" s="1"/>
      <c r="D8" s="121" t="s">
        <v>273</v>
      </c>
      <c r="E8" s="1"/>
      <c r="F8" s="1"/>
      <c r="G8" s="1"/>
      <c r="H8" s="1"/>
    </row>
    <row r="9" spans="1:8">
      <c r="A9" s="1" t="s">
        <v>21</v>
      </c>
      <c r="B9" s="11">
        <f>Staffing!F27</f>
        <v>452290.63045677048</v>
      </c>
      <c r="C9" s="1"/>
      <c r="D9" s="121" t="s">
        <v>274</v>
      </c>
      <c r="E9" s="1"/>
      <c r="F9" s="1"/>
      <c r="G9" s="1"/>
      <c r="H9" s="1"/>
    </row>
    <row r="10" spans="1:8">
      <c r="A10" s="1" t="s">
        <v>265</v>
      </c>
      <c r="B10" s="8">
        <f>SUM(B7:B9)</f>
        <v>4127949.5249219295</v>
      </c>
      <c r="C10" s="1"/>
      <c r="E10" s="1"/>
      <c r="F10" s="1"/>
      <c r="G10" s="1"/>
      <c r="H10" s="1"/>
    </row>
    <row r="11" spans="1:8">
      <c r="A11" s="1"/>
      <c r="B11" s="8"/>
      <c r="C11" s="1"/>
      <c r="E11" s="1"/>
      <c r="F11" s="1"/>
      <c r="G11" s="1"/>
      <c r="H11" s="1"/>
    </row>
    <row r="12" spans="1:8">
      <c r="A12" s="1" t="s">
        <v>22</v>
      </c>
      <c r="B12" s="11">
        <f>Staffing!B14*Inputs!B21</f>
        <v>5637.5</v>
      </c>
      <c r="C12" s="1"/>
      <c r="D12" s="121" t="s">
        <v>275</v>
      </c>
      <c r="E12" s="1"/>
      <c r="F12" s="1"/>
      <c r="G12" s="1"/>
      <c r="H12" s="1"/>
    </row>
    <row r="13" spans="1:8">
      <c r="A13" s="7" t="s">
        <v>276</v>
      </c>
      <c r="B13" s="11">
        <f>Inputs!B22</f>
        <v>221218</v>
      </c>
      <c r="C13" s="1"/>
      <c r="D13" s="121" t="s">
        <v>277</v>
      </c>
      <c r="E13" s="1"/>
      <c r="F13" s="1"/>
      <c r="G13" s="1"/>
      <c r="H13" s="1"/>
    </row>
    <row r="14" spans="1:8">
      <c r="A14" s="1" t="s">
        <v>23</v>
      </c>
      <c r="B14" s="83">
        <f>Inputs!B23</f>
        <v>2913</v>
      </c>
      <c r="C14" s="1"/>
      <c r="D14" s="121" t="s">
        <v>278</v>
      </c>
      <c r="E14" s="1"/>
      <c r="F14" s="1"/>
      <c r="G14" s="1"/>
      <c r="H14" s="1"/>
    </row>
    <row r="15" spans="1:8">
      <c r="A15" s="1" t="s">
        <v>24</v>
      </c>
      <c r="B15" s="83">
        <f>Inputs!B24</f>
        <v>133223</v>
      </c>
      <c r="C15" s="1"/>
      <c r="D15" s="121" t="s">
        <v>279</v>
      </c>
      <c r="E15" s="1"/>
      <c r="F15" s="1"/>
      <c r="G15" s="1"/>
      <c r="H15" s="1"/>
    </row>
    <row r="16" spans="1:8">
      <c r="A16" s="1" t="s">
        <v>25</v>
      </c>
      <c r="B16" s="83">
        <f>Inputs!B25</f>
        <v>3731.5</v>
      </c>
      <c r="C16" s="1"/>
      <c r="D16" s="121" t="s">
        <v>280</v>
      </c>
      <c r="E16" s="1"/>
      <c r="F16" s="1"/>
      <c r="G16" s="1"/>
      <c r="H16" s="1"/>
    </row>
    <row r="17" spans="1:8">
      <c r="A17" s="1" t="s">
        <v>26</v>
      </c>
      <c r="B17" s="83">
        <f>Inputs!B26</f>
        <v>23023</v>
      </c>
      <c r="C17" s="1"/>
      <c r="D17" s="121" t="s">
        <v>281</v>
      </c>
      <c r="E17" s="1"/>
      <c r="F17" s="1"/>
      <c r="G17" s="1"/>
      <c r="H17" s="1"/>
    </row>
    <row r="18" spans="1:8">
      <c r="A18" s="1" t="s">
        <v>27</v>
      </c>
      <c r="B18" s="83">
        <f>Inputs!B27</f>
        <v>787</v>
      </c>
      <c r="C18" s="1"/>
      <c r="D18" s="121" t="s">
        <v>282</v>
      </c>
      <c r="E18" s="1"/>
      <c r="F18" s="1"/>
      <c r="G18" s="1"/>
      <c r="H18" s="1"/>
    </row>
    <row r="19" spans="1:8">
      <c r="A19" s="1" t="s">
        <v>28</v>
      </c>
      <c r="B19" s="11">
        <f>Inputs!B28</f>
        <v>5000</v>
      </c>
      <c r="C19" s="1"/>
      <c r="D19" s="121" t="s">
        <v>283</v>
      </c>
      <c r="E19" s="1"/>
      <c r="F19" s="1"/>
      <c r="G19" s="1"/>
      <c r="H19" s="1"/>
    </row>
    <row r="20" spans="1:8">
      <c r="A20" s="1"/>
      <c r="B20" s="8"/>
      <c r="C20" s="1"/>
      <c r="E20" s="1"/>
      <c r="F20" s="1"/>
      <c r="G20" s="1"/>
      <c r="H20" s="1"/>
    </row>
    <row r="21" spans="1:8">
      <c r="A21" s="1" t="s">
        <v>284</v>
      </c>
      <c r="B21" s="8">
        <f>SUM(B12:B19)</f>
        <v>395533</v>
      </c>
      <c r="C21" s="1"/>
      <c r="E21" s="1"/>
      <c r="F21" s="1"/>
      <c r="G21" s="1"/>
      <c r="H21" s="1"/>
    </row>
    <row r="22" spans="1:8">
      <c r="A22" s="1" t="s">
        <v>285</v>
      </c>
      <c r="B22" s="11">
        <f>SUM('Rules and Capacity'!B34:B35)-'Rules and Capacity'!B36</f>
        <v>0</v>
      </c>
      <c r="C22" s="1"/>
      <c r="D22" s="121" t="s">
        <v>286</v>
      </c>
      <c r="E22" s="1"/>
      <c r="F22" s="1"/>
      <c r="G22" s="1"/>
      <c r="H22" s="1"/>
    </row>
    <row r="23" spans="1:8">
      <c r="A23" s="12" t="s">
        <v>287</v>
      </c>
      <c r="B23" s="124">
        <f>SUM(B10,B21:B22)</f>
        <v>4523482.5249219295</v>
      </c>
      <c r="C23" s="1"/>
      <c r="D23" s="121" t="s">
        <v>288</v>
      </c>
      <c r="E23" s="1"/>
      <c r="F23" s="1"/>
      <c r="G23" s="1"/>
      <c r="H23" s="1"/>
    </row>
    <row r="24" spans="1:8">
      <c r="A24" s="12" t="s">
        <v>29</v>
      </c>
      <c r="B24" s="124">
        <f>Inputs!B7</f>
        <v>4527144</v>
      </c>
      <c r="C24" s="1"/>
      <c r="D24" s="121" t="s">
        <v>289</v>
      </c>
      <c r="E24" s="1"/>
      <c r="F24" s="1"/>
      <c r="G24" s="1"/>
      <c r="H24" s="1"/>
    </row>
    <row r="25" spans="1:8">
      <c r="A25" s="12" t="s">
        <v>30</v>
      </c>
      <c r="B25" s="125">
        <f>B24-B23</f>
        <v>3661.4750780705363</v>
      </c>
      <c r="C25" s="1"/>
      <c r="D25" s="121" t="s">
        <v>290</v>
      </c>
      <c r="E25" s="1"/>
      <c r="F25" s="1"/>
      <c r="G25" s="1"/>
      <c r="H25" s="1"/>
    </row>
    <row r="26" spans="1:8">
      <c r="A26" s="1"/>
      <c r="B26" s="8"/>
      <c r="C26" s="1"/>
      <c r="E26" s="1"/>
      <c r="F26" s="1"/>
      <c r="G26" s="1"/>
      <c r="H26" s="1"/>
    </row>
    <row r="27" spans="1:8">
      <c r="A27" s="1"/>
      <c r="B27" s="11"/>
      <c r="C27" s="1"/>
      <c r="E27" s="1"/>
      <c r="F27" s="1"/>
      <c r="G27" s="1"/>
      <c r="H27" s="1"/>
    </row>
    <row r="28" spans="1:8">
      <c r="E28" s="1"/>
      <c r="F28" s="1"/>
      <c r="G28" s="1"/>
      <c r="H28" s="1"/>
    </row>
    <row r="29" spans="1:8">
      <c r="E29" s="1"/>
      <c r="F29" s="1"/>
      <c r="G29" s="1"/>
      <c r="H29" s="1"/>
    </row>
    <row r="30" spans="1:8">
      <c r="E30" s="1"/>
      <c r="F30" s="1"/>
      <c r="G30" s="1"/>
      <c r="H30" s="1"/>
    </row>
    <row r="31" spans="1:8">
      <c r="E31" s="1"/>
      <c r="F31" s="1"/>
      <c r="G31" s="1"/>
      <c r="H31" s="1"/>
    </row>
    <row r="32" spans="1:8"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</sheetData>
  <conditionalFormatting sqref="B25">
    <cfRule type="cellIs" dxfId="7" priority="3" operator="greaterThanOrEqual">
      <formula>0</formula>
    </cfRule>
    <cfRule type="cellIs" dxfId="6" priority="4" operator="lessThan">
      <formula>0</formula>
    </cfRule>
  </conditionalFormatting>
  <conditionalFormatting sqref="B26:B28">
    <cfRule type="cellIs" dxfId="5" priority="1" operator="lessThan">
      <formula>0</formula>
    </cfRule>
  </conditionalFormatting>
  <conditionalFormatting sqref="B30:B32">
    <cfRule type="cellIs" dxfId="4" priority="2" operator="less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0"/>
  <sheetViews>
    <sheetView showGridLines="0" workbookViewId="0">
      <pane ySplit="6" topLeftCell="A7" activePane="bottomLeft" state="frozen"/>
      <selection pane="bottomLeft" activeCell="C18" sqref="C18"/>
    </sheetView>
  </sheetViews>
  <sheetFormatPr defaultRowHeight="14.25"/>
  <cols>
    <col min="1" max="1" width="44" customWidth="1"/>
    <col min="2" max="8" width="17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9.5">
      <c r="A2" s="2" t="s">
        <v>31</v>
      </c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3" t="s">
        <v>32</v>
      </c>
      <c r="B6" s="3" t="s">
        <v>7</v>
      </c>
      <c r="C6" s="3" t="s">
        <v>33</v>
      </c>
      <c r="D6" s="3" t="s">
        <v>34</v>
      </c>
      <c r="E6" s="3" t="s">
        <v>35</v>
      </c>
      <c r="F6" s="3" t="s">
        <v>36</v>
      </c>
      <c r="G6" s="3" t="s">
        <v>37</v>
      </c>
      <c r="H6" s="1"/>
    </row>
    <row r="7" spans="1:8">
      <c r="A7" s="1" t="s">
        <v>8</v>
      </c>
      <c r="B7" s="10">
        <f>'Rules and Capacity'!B8</f>
        <v>12</v>
      </c>
      <c r="C7" s="11">
        <f>Inputs!B10</f>
        <v>87307</v>
      </c>
      <c r="D7" s="8">
        <f t="shared" ref="D7:D13" si="0">B7*C7</f>
        <v>1047684</v>
      </c>
      <c r="E7" s="11">
        <f>B7*Inputs!$B$13</f>
        <v>409603.32</v>
      </c>
      <c r="F7" s="11">
        <f>D7*(Inputs!$B$14+Inputs!$B$17+Inputs!$B$18+Inputs!$B$19)</f>
        <v>149923.58040000001</v>
      </c>
      <c r="G7" s="8">
        <f t="shared" ref="G7:G13" si="1">SUM(D7:F7)</f>
        <v>1607210.9004000002</v>
      </c>
      <c r="H7" s="1"/>
    </row>
    <row r="8" spans="1:8">
      <c r="A8" s="1" t="s">
        <v>38</v>
      </c>
      <c r="B8" s="10">
        <f>Inputs!B37/3</f>
        <v>1</v>
      </c>
      <c r="C8" s="11">
        <f>Inputs!B10</f>
        <v>87307</v>
      </c>
      <c r="D8" s="8">
        <f t="shared" si="0"/>
        <v>87307</v>
      </c>
      <c r="E8" s="11">
        <f>B8*Inputs!$B$13</f>
        <v>34133.61</v>
      </c>
      <c r="F8" s="11">
        <f>D8*(Inputs!$B$14+Inputs!$B$17+Inputs!$B$18+Inputs!$B$19)</f>
        <v>12493.6317</v>
      </c>
      <c r="G8" s="8">
        <f t="shared" si="1"/>
        <v>133934.24170000001</v>
      </c>
      <c r="H8" s="1"/>
    </row>
    <row r="9" spans="1:8">
      <c r="A9" s="1" t="s">
        <v>39</v>
      </c>
      <c r="B9" s="10">
        <f>Inputs!B37/3</f>
        <v>1</v>
      </c>
      <c r="C9" s="11">
        <f>Inputs!B10</f>
        <v>87307</v>
      </c>
      <c r="D9" s="8">
        <f t="shared" si="0"/>
        <v>87307</v>
      </c>
      <c r="E9" s="11">
        <f>B9*Inputs!$B$13</f>
        <v>34133.61</v>
      </c>
      <c r="F9" s="11">
        <f>D9*(Inputs!$B$14+Inputs!$B$17+Inputs!$B$18+Inputs!$B$19)</f>
        <v>12493.6317</v>
      </c>
      <c r="G9" s="8">
        <f t="shared" si="1"/>
        <v>133934.24170000001</v>
      </c>
      <c r="H9" s="1"/>
    </row>
    <row r="10" spans="1:8">
      <c r="A10" s="1" t="s">
        <v>40</v>
      </c>
      <c r="B10" s="10">
        <f>Inputs!B37/3</f>
        <v>1</v>
      </c>
      <c r="C10" s="11">
        <f>Inputs!B10</f>
        <v>87307</v>
      </c>
      <c r="D10" s="8">
        <f t="shared" si="0"/>
        <v>87307</v>
      </c>
      <c r="E10" s="11">
        <f>B10*Inputs!$B$13</f>
        <v>34133.61</v>
      </c>
      <c r="F10" s="11">
        <f>D10*(Inputs!$B$14+Inputs!$B$17+Inputs!$B$18+Inputs!$B$19)</f>
        <v>12493.6317</v>
      </c>
      <c r="G10" s="8">
        <f t="shared" si="1"/>
        <v>133934.24170000001</v>
      </c>
      <c r="H10" s="1"/>
    </row>
    <row r="11" spans="1:8">
      <c r="A11" s="1" t="s">
        <v>10</v>
      </c>
      <c r="B11" s="10">
        <f>Inputs!B36</f>
        <v>0.5</v>
      </c>
      <c r="C11" s="11">
        <f>Inputs!B10</f>
        <v>87307</v>
      </c>
      <c r="D11" s="8">
        <f t="shared" si="0"/>
        <v>43653.5</v>
      </c>
      <c r="E11" s="11">
        <f>B11*Inputs!$B$13</f>
        <v>17066.805</v>
      </c>
      <c r="F11" s="11">
        <f>D11*(Inputs!$B$14+Inputs!$B$17+Inputs!$B$18+Inputs!$B$19)</f>
        <v>6246.81585</v>
      </c>
      <c r="G11" s="8">
        <f t="shared" si="1"/>
        <v>66967.120850000007</v>
      </c>
      <c r="H11" s="1"/>
    </row>
    <row r="12" spans="1:8">
      <c r="A12" s="7" t="s">
        <v>268</v>
      </c>
      <c r="B12" s="10">
        <f>'Rules and Capacity'!B39</f>
        <v>5</v>
      </c>
      <c r="C12" s="11">
        <f>Inputs!B10</f>
        <v>87307</v>
      </c>
      <c r="D12" s="8">
        <f t="shared" si="0"/>
        <v>436535</v>
      </c>
      <c r="E12" s="11">
        <f>B12*Inputs!$B$13</f>
        <v>170668.05</v>
      </c>
      <c r="F12" s="11">
        <f>D12*(Inputs!$B$14+Inputs!$B$17+Inputs!$B$18+Inputs!$B$19)</f>
        <v>62468.158500000005</v>
      </c>
      <c r="G12" s="8">
        <f t="shared" si="1"/>
        <v>669671.20850000007</v>
      </c>
      <c r="H12" s="1"/>
    </row>
    <row r="13" spans="1:8">
      <c r="A13" s="1" t="s">
        <v>11</v>
      </c>
      <c r="B13" s="10">
        <f>Inputs!B38</f>
        <v>1</v>
      </c>
      <c r="C13" s="11">
        <f>Inputs!B11</f>
        <v>124910</v>
      </c>
      <c r="D13" s="8">
        <f t="shared" si="0"/>
        <v>124910</v>
      </c>
      <c r="E13" s="11">
        <f>B13*Inputs!$B$13</f>
        <v>34133.61</v>
      </c>
      <c r="F13" s="11">
        <f>D13*(Inputs!$B$14+Inputs!$B$17+Inputs!$B$18+Inputs!$B$19)</f>
        <v>17874.620999999999</v>
      </c>
      <c r="G13" s="8">
        <f t="shared" si="1"/>
        <v>176918.23099999997</v>
      </c>
      <c r="H13" s="1"/>
    </row>
    <row r="14" spans="1:8">
      <c r="A14" s="1" t="s">
        <v>41</v>
      </c>
      <c r="B14" s="6">
        <f>SUM(B7:B12)</f>
        <v>20.5</v>
      </c>
      <c r="C14" s="8"/>
      <c r="D14" s="8"/>
      <c r="E14" s="8"/>
      <c r="F14" s="8"/>
      <c r="G14" s="8"/>
      <c r="H14" s="1"/>
    </row>
    <row r="15" spans="1:8">
      <c r="A15" s="1" t="s">
        <v>291</v>
      </c>
      <c r="B15" s="6">
        <f>SUM(B7:B13)</f>
        <v>21.5</v>
      </c>
      <c r="C15" s="8"/>
      <c r="D15" s="8">
        <f>SUM(D7:D13)</f>
        <v>1914703.5</v>
      </c>
      <c r="E15" s="8">
        <f>SUM(E7:E13)</f>
        <v>733872.61499999987</v>
      </c>
      <c r="F15" s="8">
        <f>SUM(F7:F13)</f>
        <v>273994.07085000002</v>
      </c>
      <c r="G15" s="8">
        <f>SUM(G7:G13)</f>
        <v>2922570.1858500009</v>
      </c>
      <c r="H15" s="1"/>
    </row>
    <row r="16" spans="1:8">
      <c r="A16" s="1"/>
      <c r="B16" s="6"/>
      <c r="C16" s="8"/>
      <c r="D16" s="8"/>
      <c r="E16" s="8"/>
      <c r="F16" s="8"/>
      <c r="G16" s="8"/>
      <c r="H16" s="1"/>
    </row>
    <row r="17" spans="1:8">
      <c r="A17" s="1" t="s">
        <v>292</v>
      </c>
      <c r="B17" s="10">
        <f>SUM('Rules and Capacity'!B30:B32)</f>
        <v>7.33</v>
      </c>
      <c r="C17" s="11">
        <f>Inputs!B12</f>
        <v>48286</v>
      </c>
      <c r="D17" s="8">
        <f t="shared" ref="D17:D21" si="2">B17*C17</f>
        <v>353936.38</v>
      </c>
      <c r="E17" s="11">
        <f>B17*Inputs!$B$13</f>
        <v>250199.36130000002</v>
      </c>
      <c r="F17" s="11">
        <f>D17*SUM(Inputs!$B$15:$B$19)</f>
        <v>106003.94581000002</v>
      </c>
      <c r="G17" s="8">
        <f t="shared" ref="G17:G21" si="3">SUM(D17:F17)</f>
        <v>710139.68711000006</v>
      </c>
      <c r="H17" s="1"/>
    </row>
    <row r="18" spans="1:8">
      <c r="A18" s="1" t="s">
        <v>42</v>
      </c>
      <c r="B18" s="10">
        <f>'Rules and Capacity'!B18</f>
        <v>0.44</v>
      </c>
      <c r="C18" s="11">
        <f>Inputs!B12</f>
        <v>48286</v>
      </c>
      <c r="D18" s="8">
        <f t="shared" si="2"/>
        <v>21245.84</v>
      </c>
      <c r="E18" s="11">
        <f>B18*Inputs!$B$13</f>
        <v>15018.788399999999</v>
      </c>
      <c r="F18" s="11">
        <f>D18*SUM(Inputs!$B$15:$B$19)</f>
        <v>6363.1290800000006</v>
      </c>
      <c r="G18" s="8">
        <f t="shared" si="3"/>
        <v>42627.75748</v>
      </c>
      <c r="H18" s="1"/>
    </row>
    <row r="19" spans="1:8">
      <c r="A19" s="1" t="s">
        <v>43</v>
      </c>
      <c r="B19" s="10">
        <f>'Rules and Capacity'!B33</f>
        <v>0.88</v>
      </c>
      <c r="C19" s="11">
        <f>Inputs!B12</f>
        <v>48286</v>
      </c>
      <c r="D19" s="8">
        <f t="shared" si="2"/>
        <v>42491.68</v>
      </c>
      <c r="E19" s="11">
        <f>B19*Inputs!$B$13</f>
        <v>30037.576799999999</v>
      </c>
      <c r="F19" s="11">
        <f>D19*SUM(Inputs!$B$15:$B$19)</f>
        <v>12726.258160000001</v>
      </c>
      <c r="G19" s="8">
        <f t="shared" si="3"/>
        <v>85255.51496</v>
      </c>
      <c r="H19" s="1"/>
    </row>
    <row r="20" spans="1:8">
      <c r="A20" s="1" t="s">
        <v>44</v>
      </c>
      <c r="B20" s="10">
        <f>'Rules and Capacity'!B17</f>
        <v>1.0545454545454545</v>
      </c>
      <c r="C20" s="11">
        <f>Inputs!B12</f>
        <v>48286</v>
      </c>
      <c r="D20" s="8">
        <f t="shared" si="2"/>
        <v>50919.781818181815</v>
      </c>
      <c r="E20" s="11">
        <f>B20*Inputs!$B$13</f>
        <v>35995.443272727272</v>
      </c>
      <c r="F20" s="11">
        <f>D20*SUM(Inputs!$B$15:$B$19)</f>
        <v>15250.474654545456</v>
      </c>
      <c r="G20" s="8">
        <f t="shared" si="3"/>
        <v>102165.69974545453</v>
      </c>
      <c r="H20" s="1"/>
    </row>
    <row r="21" spans="1:8">
      <c r="A21" s="1" t="s">
        <v>45</v>
      </c>
      <c r="B21" s="10">
        <f>'Rules and Capacity'!B16</f>
        <v>2.5144250000000001</v>
      </c>
      <c r="C21" s="11">
        <f>Inputs!B12</f>
        <v>48286</v>
      </c>
      <c r="D21" s="8">
        <f t="shared" si="2"/>
        <v>121411.52555000001</v>
      </c>
      <c r="E21" s="11">
        <f>B21*Inputs!$B$13</f>
        <v>85826.402324250012</v>
      </c>
      <c r="F21" s="11">
        <f>D21*SUM(Inputs!$B$15:$B$19)</f>
        <v>36362.751902225005</v>
      </c>
      <c r="G21" s="8">
        <f t="shared" si="3"/>
        <v>243600.67977647501</v>
      </c>
      <c r="H21" s="1"/>
    </row>
    <row r="22" spans="1:8">
      <c r="H22" s="1"/>
    </row>
    <row r="23" spans="1:8">
      <c r="A23" s="1" t="s">
        <v>293</v>
      </c>
      <c r="B23" s="6">
        <f>SUM(B17:B21)</f>
        <v>12.218970454545456</v>
      </c>
      <c r="C23" s="8"/>
      <c r="D23" s="8">
        <f>SUM(D17:D21)</f>
        <v>590005.20736818179</v>
      </c>
      <c r="E23" s="8">
        <f>SUM(E17:E21)</f>
        <v>417077.57209697727</v>
      </c>
      <c r="F23" s="8">
        <f>SUM(F17:F21)</f>
        <v>176706.55960677046</v>
      </c>
      <c r="G23" s="8">
        <f>SUM(G17:G21)</f>
        <v>1183789.3390719297</v>
      </c>
      <c r="H23" s="1"/>
    </row>
    <row r="24" spans="1:8">
      <c r="A24" s="1"/>
      <c r="B24" s="6"/>
      <c r="C24" s="8"/>
      <c r="D24" s="8"/>
      <c r="E24" s="8"/>
      <c r="F24" s="8"/>
      <c r="G24" s="8"/>
      <c r="H24" s="1"/>
    </row>
    <row r="25" spans="1:8">
      <c r="A25" s="1" t="s">
        <v>46</v>
      </c>
      <c r="B25" s="6"/>
      <c r="C25" s="8"/>
      <c r="D25" s="11">
        <f>Inputs!B20</f>
        <v>20000</v>
      </c>
      <c r="E25" s="8">
        <v>0</v>
      </c>
      <c r="F25" s="11">
        <f>D25*SUM(Inputs!B16:B19)</f>
        <v>1590</v>
      </c>
      <c r="G25" s="8">
        <f>SUM(D25:F25)</f>
        <v>21590</v>
      </c>
      <c r="H25" s="1"/>
    </row>
    <row r="26" spans="1:8">
      <c r="A26" s="1"/>
      <c r="B26" s="6"/>
      <c r="C26" s="8"/>
      <c r="D26" s="8"/>
      <c r="E26" s="8"/>
      <c r="F26" s="8"/>
      <c r="G26" s="8"/>
      <c r="H26" s="1"/>
    </row>
    <row r="27" spans="1:8">
      <c r="A27" s="1" t="s">
        <v>265</v>
      </c>
      <c r="B27" s="6">
        <f>B15+B23</f>
        <v>33.718970454545456</v>
      </c>
      <c r="C27" s="8"/>
      <c r="D27" s="8">
        <f>D15+D23+D25</f>
        <v>2524708.707368182</v>
      </c>
      <c r="E27" s="8">
        <f>E15+E23+E25</f>
        <v>1150950.1870969771</v>
      </c>
      <c r="F27" s="8">
        <f>F15+F23+F25</f>
        <v>452290.63045677048</v>
      </c>
      <c r="G27" s="8">
        <f>G15+G23+G25</f>
        <v>4127949.5249219304</v>
      </c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7"/>
      <c r="C32" s="7"/>
      <c r="D32" s="7"/>
      <c r="E32" s="7"/>
      <c r="F32" s="7"/>
      <c r="G32" s="7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1"/>
  <sheetViews>
    <sheetView showGridLines="0" workbookViewId="0">
      <pane ySplit="6" topLeftCell="A16" activePane="bottomLeft" state="frozen"/>
      <selection pane="bottomLeft" activeCell="B32" sqref="B32"/>
    </sheetView>
  </sheetViews>
  <sheetFormatPr defaultRowHeight="14.25"/>
  <cols>
    <col min="1" max="1" width="20" customWidth="1"/>
    <col min="2" max="2" width="17" customWidth="1"/>
    <col min="3" max="3" width="30" customWidth="1"/>
    <col min="4" max="8" width="17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9.5">
      <c r="A2" s="2" t="s">
        <v>47</v>
      </c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1" t="s">
        <v>48</v>
      </c>
      <c r="B4" s="9">
        <f>Inputs!B8</f>
        <v>290</v>
      </c>
      <c r="C4" s="1"/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3" t="s">
        <v>49</v>
      </c>
      <c r="B6" s="3" t="s">
        <v>294</v>
      </c>
      <c r="C6" s="3" t="s">
        <v>295</v>
      </c>
      <c r="D6" s="3" t="s">
        <v>296</v>
      </c>
      <c r="E6" s="3" t="s">
        <v>50</v>
      </c>
      <c r="F6" s="3" t="s">
        <v>51</v>
      </c>
      <c r="G6" s="3" t="s">
        <v>52</v>
      </c>
      <c r="H6" s="1"/>
    </row>
    <row r="7" spans="1:8">
      <c r="A7" s="1" t="s">
        <v>53</v>
      </c>
      <c r="B7" s="77">
        <v>34</v>
      </c>
      <c r="C7" s="6">
        <f t="shared" ref="C7:C13" si="0">B7/SUM($B$7:$B$13)*$B$4</f>
        <v>40.244897959183675</v>
      </c>
      <c r="D7" s="1">
        <f t="shared" ref="D7:D13" si="1">IF(ROW(C7)=ROW($C$13),$B$4-SUM($D$7:$D$12),ROUND(C7,0))</f>
        <v>40</v>
      </c>
      <c r="E7" s="9">
        <f>IF($B$4&gt;=Inputs!$B$99,Inputs!B100,IF($B$4&gt;=Inputs!$B$110,Inputs!$B$109,"OUT OF RANGE"))</f>
        <v>22.5</v>
      </c>
      <c r="F7" s="6">
        <f t="shared" ref="F7:F13" si="2">D7/E7</f>
        <v>1.7777777777777777</v>
      </c>
      <c r="G7" s="1">
        <f t="shared" ref="G7:G13" si="3">ROUNDUP(F7,0)</f>
        <v>2</v>
      </c>
      <c r="H7" s="1"/>
    </row>
    <row r="8" spans="1:8">
      <c r="A8" s="1" t="s">
        <v>54</v>
      </c>
      <c r="B8" s="77">
        <v>35</v>
      </c>
      <c r="C8" s="6">
        <f t="shared" si="0"/>
        <v>41.428571428571423</v>
      </c>
      <c r="D8" s="1">
        <f t="shared" si="1"/>
        <v>41</v>
      </c>
      <c r="E8" s="9">
        <f>IF($B$4&gt;=Inputs!$B$99,Inputs!B101,IF($B$4&gt;=Inputs!$B$110,Inputs!$B$109,"OUT OF RANGE"))</f>
        <v>24.5</v>
      </c>
      <c r="F8" s="6">
        <f t="shared" si="2"/>
        <v>1.6734693877551021</v>
      </c>
      <c r="G8" s="1">
        <f t="shared" si="3"/>
        <v>2</v>
      </c>
      <c r="H8" s="1"/>
    </row>
    <row r="9" spans="1:8">
      <c r="A9" s="1" t="s">
        <v>55</v>
      </c>
      <c r="B9" s="77">
        <v>30</v>
      </c>
      <c r="C9" s="6">
        <f t="shared" si="0"/>
        <v>35.510204081632651</v>
      </c>
      <c r="D9" s="1">
        <f t="shared" si="1"/>
        <v>36</v>
      </c>
      <c r="E9" s="9">
        <f>IF($B$4&gt;=Inputs!$B$99,Inputs!B101,IF($B$4&gt;=Inputs!$B$110,Inputs!$B$109,"OUT OF RANGE"))</f>
        <v>24.5</v>
      </c>
      <c r="F9" s="6">
        <f t="shared" si="2"/>
        <v>1.4693877551020409</v>
      </c>
      <c r="G9" s="1">
        <f t="shared" si="3"/>
        <v>2</v>
      </c>
      <c r="H9" s="1"/>
    </row>
    <row r="10" spans="1:8">
      <c r="A10" s="1" t="s">
        <v>56</v>
      </c>
      <c r="B10" s="77">
        <v>40</v>
      </c>
      <c r="C10" s="6">
        <f t="shared" si="0"/>
        <v>47.346938775510203</v>
      </c>
      <c r="D10" s="1">
        <f t="shared" si="1"/>
        <v>47</v>
      </c>
      <c r="E10" s="9">
        <f>IF($B$4&gt;=Inputs!$B$99,Inputs!B101,IF($B$4&gt;=Inputs!$B$110,Inputs!$B$109,"OUT OF RANGE"))</f>
        <v>24.5</v>
      </c>
      <c r="F10" s="6">
        <f t="shared" si="2"/>
        <v>1.9183673469387754</v>
      </c>
      <c r="G10" s="1">
        <f t="shared" si="3"/>
        <v>2</v>
      </c>
      <c r="H10" s="1"/>
    </row>
    <row r="11" spans="1:8">
      <c r="A11" s="1" t="s">
        <v>57</v>
      </c>
      <c r="B11" s="77">
        <v>37</v>
      </c>
      <c r="C11" s="6">
        <f t="shared" si="0"/>
        <v>43.795918367346943</v>
      </c>
      <c r="D11" s="1">
        <f t="shared" si="1"/>
        <v>44</v>
      </c>
      <c r="E11" s="9">
        <f>IF($B$4&gt;=Inputs!$B$99,Inputs!B102,IF($B$4&gt;=Inputs!$B$110,Inputs!$B$109,"OUT OF RANGE"))</f>
        <v>26.5</v>
      </c>
      <c r="F11" s="6">
        <f t="shared" si="2"/>
        <v>1.6603773584905661</v>
      </c>
      <c r="G11" s="1">
        <f t="shared" si="3"/>
        <v>2</v>
      </c>
      <c r="H11" s="1"/>
    </row>
    <row r="12" spans="1:8">
      <c r="A12" s="1" t="s">
        <v>58</v>
      </c>
      <c r="B12" s="77">
        <v>37</v>
      </c>
      <c r="C12" s="6">
        <f t="shared" si="0"/>
        <v>43.795918367346943</v>
      </c>
      <c r="D12" s="1">
        <f t="shared" si="1"/>
        <v>44</v>
      </c>
      <c r="E12" s="9">
        <f>IF($B$4&gt;=Inputs!$B$99,Inputs!B102,IF($B$4&gt;=Inputs!$B$110,Inputs!$B$109,"OUT OF RANGE"))</f>
        <v>26.5</v>
      </c>
      <c r="F12" s="6">
        <f t="shared" si="2"/>
        <v>1.6603773584905661</v>
      </c>
      <c r="G12" s="1">
        <f t="shared" si="3"/>
        <v>2</v>
      </c>
      <c r="H12" s="1"/>
    </row>
    <row r="13" spans="1:8">
      <c r="A13" s="1" t="s">
        <v>59</v>
      </c>
      <c r="B13" s="77">
        <v>32</v>
      </c>
      <c r="C13" s="6">
        <f t="shared" si="0"/>
        <v>37.87755102040817</v>
      </c>
      <c r="D13" s="82">
        <f t="shared" si="1"/>
        <v>38</v>
      </c>
      <c r="E13" s="9">
        <f>IF($B$4&gt;=Inputs!$B$99,Inputs!B102,IF($B$4&gt;=Inputs!$B$110,Inputs!$B$109,"OUT OF RANGE"))</f>
        <v>26.5</v>
      </c>
      <c r="F13" s="6">
        <f t="shared" si="2"/>
        <v>1.4339622641509433</v>
      </c>
      <c r="G13" s="1">
        <f t="shared" si="3"/>
        <v>2</v>
      </c>
      <c r="H13" s="1"/>
    </row>
    <row r="14" spans="1:8">
      <c r="A14" s="1" t="s">
        <v>60</v>
      </c>
      <c r="B14" s="1">
        <f>SUM(B7:B13)</f>
        <v>245</v>
      </c>
      <c r="C14" s="6">
        <f>SUM(C7:C13)</f>
        <v>290</v>
      </c>
      <c r="D14" s="1">
        <f>SUM(D7:D13)</f>
        <v>290</v>
      </c>
      <c r="E14" s="1"/>
      <c r="F14" s="6">
        <f>SUM(F7:F13)</f>
        <v>11.593719248705773</v>
      </c>
      <c r="G14" s="1">
        <f>SUM(G7:G13)</f>
        <v>14</v>
      </c>
      <c r="H14" s="1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1" t="s">
        <v>61</v>
      </c>
      <c r="B17" s="1" t="s">
        <v>62</v>
      </c>
      <c r="C17" s="1"/>
      <c r="D17" s="1"/>
      <c r="E17" s="1"/>
      <c r="F17" s="1"/>
      <c r="G17" s="1"/>
      <c r="H17" s="1"/>
    </row>
    <row r="18" spans="1:8" ht="25.5">
      <c r="A18" s="7" t="s">
        <v>63</v>
      </c>
      <c r="B18" s="10">
        <f>INT(F14)+IF(ROUND(MOD(F14,1),8)&lt;=Inputs!B106,0,IF(ROUND(MOD(F14,1),8)&lt;Inputs!B107,0.5,1))</f>
        <v>11.5</v>
      </c>
      <c r="C18" s="1"/>
      <c r="D18" s="1"/>
      <c r="E18" s="1"/>
      <c r="F18" s="1"/>
      <c r="G18" s="1"/>
      <c r="H18" s="1"/>
    </row>
    <row r="19" spans="1:8">
      <c r="A19" s="1" t="s">
        <v>64</v>
      </c>
      <c r="B19" s="6">
        <f>ROUNDUP(F14,0)</f>
        <v>12</v>
      </c>
      <c r="C19" s="1"/>
      <c r="D19" s="1"/>
      <c r="E19" s="1"/>
      <c r="F19" s="1"/>
      <c r="G19" s="1"/>
      <c r="H19" s="1"/>
    </row>
    <row r="20" spans="1:8">
      <c r="A20" s="1" t="s">
        <v>65</v>
      </c>
      <c r="B20" s="6">
        <f>SUM(D7:D13)-B4</f>
        <v>0</v>
      </c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 t="s">
        <v>66</v>
      </c>
      <c r="B24" s="1"/>
      <c r="C24" s="1"/>
      <c r="D24" s="1"/>
      <c r="E24" s="1"/>
      <c r="F24" s="1"/>
      <c r="G24" s="1"/>
      <c r="H24" s="1"/>
    </row>
    <row r="25" spans="1:8">
      <c r="A25" s="1" t="s">
        <v>297</v>
      </c>
      <c r="B25" s="1"/>
      <c r="C25" s="1"/>
      <c r="D25" s="1"/>
      <c r="E25" s="1"/>
      <c r="F25" s="1"/>
      <c r="G25" s="1"/>
      <c r="H25" s="1"/>
    </row>
    <row r="26" spans="1:8">
      <c r="A26" s="1" t="s">
        <v>298</v>
      </c>
      <c r="B26" s="1"/>
      <c r="C26" s="1"/>
      <c r="D26" s="1"/>
      <c r="E26" s="1"/>
      <c r="F26" s="1"/>
      <c r="G26" s="1"/>
      <c r="H26" s="1"/>
    </row>
    <row r="27" spans="1:8">
      <c r="A27" s="1" t="s">
        <v>299</v>
      </c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 t="s">
        <v>300</v>
      </c>
      <c r="B29" s="1"/>
      <c r="C29" s="1"/>
      <c r="D29" s="1"/>
      <c r="E29" s="1"/>
      <c r="F29" s="1"/>
      <c r="G29" s="1"/>
      <c r="H29" s="1"/>
    </row>
    <row r="30" spans="1:8">
      <c r="A30" s="133" t="s">
        <v>98</v>
      </c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</sheetData>
  <conditionalFormatting sqref="B20">
    <cfRule type="cellIs" dxfId="3" priority="1" operator="notEqual">
      <formula>0</formula>
    </cfRule>
  </conditionalFormatting>
  <dataValidations count="1">
    <dataValidation type="whole" sqref="B7:B13" xr:uid="{00000000-0002-0000-0400-000000000000}">
      <formula1>0</formula1>
      <formula2>600</formula2>
    </dataValidation>
  </dataValidations>
  <hyperlinks>
    <hyperlink ref="A30" r:id="rId1" xr:uid="{9F50FA1D-E145-416C-A729-F47370A31F73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8AA7B6"/>
  </sheetPr>
  <dimension ref="A1:H110"/>
  <sheetViews>
    <sheetView showGridLines="0" workbookViewId="0">
      <pane ySplit="6" topLeftCell="A93" activePane="bottomLeft" state="frozen"/>
      <selection pane="bottomLeft" activeCell="C120" sqref="C120"/>
    </sheetView>
  </sheetViews>
  <sheetFormatPr defaultRowHeight="14.25"/>
  <cols>
    <col min="1" max="1" width="44" customWidth="1"/>
    <col min="2" max="2" width="17" customWidth="1"/>
    <col min="3" max="3" width="136.75" customWidth="1"/>
    <col min="4" max="4" width="17" customWidth="1"/>
    <col min="5" max="5" width="48" customWidth="1"/>
    <col min="6" max="8" width="17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9.5">
      <c r="A2" s="2" t="s">
        <v>67</v>
      </c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F4" s="1"/>
      <c r="G4" s="1"/>
      <c r="H4" s="1"/>
    </row>
    <row r="5" spans="1:8">
      <c r="A5" s="1"/>
      <c r="B5" s="1"/>
      <c r="C5" s="1"/>
      <c r="F5" s="1"/>
      <c r="G5" s="1"/>
      <c r="H5" s="1"/>
    </row>
    <row r="6" spans="1:8">
      <c r="A6" s="3" t="s">
        <v>68</v>
      </c>
      <c r="B6" s="3" t="s">
        <v>69</v>
      </c>
      <c r="C6" s="3" t="s">
        <v>70</v>
      </c>
      <c r="H6" s="1"/>
    </row>
    <row r="7" spans="1:8">
      <c r="A7" s="7" t="s">
        <v>71</v>
      </c>
      <c r="B7" s="109">
        <f>'Total Revenue'!B15</f>
        <v>4527144</v>
      </c>
      <c r="C7" s="7" t="s">
        <v>301</v>
      </c>
      <c r="H7" s="1"/>
    </row>
    <row r="8" spans="1:8">
      <c r="A8" s="7" t="s">
        <v>72</v>
      </c>
      <c r="B8" s="122">
        <f>'SoEl CS'!J9</f>
        <v>290</v>
      </c>
      <c r="C8" s="7" t="s">
        <v>302</v>
      </c>
      <c r="H8" s="1"/>
    </row>
    <row r="9" spans="1:8">
      <c r="A9" s="1"/>
      <c r="B9" s="4"/>
      <c r="C9" s="7"/>
      <c r="D9" s="1"/>
      <c r="E9" s="1"/>
      <c r="H9" s="1"/>
    </row>
    <row r="10" spans="1:8">
      <c r="A10" s="1" t="s">
        <v>73</v>
      </c>
      <c r="B10" s="76">
        <f>'District Budget'!B3</f>
        <v>87307</v>
      </c>
      <c r="C10" s="7" t="s">
        <v>303</v>
      </c>
      <c r="D10" s="1"/>
      <c r="E10" s="1"/>
      <c r="H10" s="1"/>
    </row>
    <row r="11" spans="1:8">
      <c r="A11" s="1" t="s">
        <v>74</v>
      </c>
      <c r="B11" s="76">
        <f>'District Budget'!B12</f>
        <v>124910</v>
      </c>
      <c r="C11" s="7" t="s">
        <v>304</v>
      </c>
      <c r="D11" s="1"/>
      <c r="E11" s="1"/>
      <c r="F11" s="1"/>
      <c r="G11" s="1"/>
      <c r="H11" s="1"/>
    </row>
    <row r="12" spans="1:8">
      <c r="A12" s="1" t="s">
        <v>75</v>
      </c>
      <c r="B12" s="76">
        <f>'District Budget'!B21</f>
        <v>48286</v>
      </c>
      <c r="C12" s="7" t="s">
        <v>305</v>
      </c>
      <c r="D12" s="1"/>
      <c r="E12" s="1"/>
      <c r="F12" s="1"/>
      <c r="G12" s="1"/>
      <c r="H12" s="1"/>
    </row>
    <row r="13" spans="1:8">
      <c r="A13" s="1" t="s">
        <v>76</v>
      </c>
      <c r="B13" s="76">
        <f>'District Budget'!B4</f>
        <v>34133.61</v>
      </c>
      <c r="C13" s="7" t="s">
        <v>306</v>
      </c>
      <c r="D13" s="1"/>
      <c r="E13" s="1"/>
      <c r="F13" s="1"/>
      <c r="G13" s="1"/>
      <c r="H13" s="1"/>
    </row>
    <row r="14" spans="1:8">
      <c r="A14" s="1" t="s">
        <v>77</v>
      </c>
      <c r="B14" s="78">
        <f>'District Budget'!B5</f>
        <v>0.12559999999999999</v>
      </c>
      <c r="C14" s="7" t="s">
        <v>405</v>
      </c>
      <c r="D14" s="1"/>
      <c r="E14" s="1"/>
      <c r="F14" s="1"/>
      <c r="G14" s="1"/>
      <c r="H14" s="1"/>
    </row>
    <row r="15" spans="1:8">
      <c r="A15" s="1" t="s">
        <v>78</v>
      </c>
      <c r="B15" s="78">
        <f>'District Budget'!B23</f>
        <v>0.22</v>
      </c>
      <c r="C15" s="7" t="s">
        <v>406</v>
      </c>
      <c r="D15" s="1"/>
      <c r="E15" s="1"/>
      <c r="F15" s="1"/>
      <c r="G15" s="1"/>
      <c r="H15" s="1"/>
    </row>
    <row r="16" spans="1:8">
      <c r="A16" s="1" t="s">
        <v>79</v>
      </c>
      <c r="B16" s="78">
        <f>'District Budget'!B24</f>
        <v>6.2E-2</v>
      </c>
      <c r="C16" s="7" t="s">
        <v>407</v>
      </c>
      <c r="D16" s="1"/>
      <c r="E16" s="1"/>
      <c r="F16" s="1"/>
      <c r="G16" s="1"/>
      <c r="H16" s="1"/>
    </row>
    <row r="17" spans="1:8">
      <c r="A17" s="1" t="s">
        <v>80</v>
      </c>
      <c r="B17" s="78">
        <f>'District Budget'!B6</f>
        <v>1.4500000000000001E-2</v>
      </c>
      <c r="C17" s="7" t="s">
        <v>408</v>
      </c>
      <c r="D17" s="1"/>
      <c r="E17" s="1"/>
      <c r="F17" s="1"/>
      <c r="G17" s="1"/>
      <c r="H17" s="1"/>
    </row>
    <row r="18" spans="1:8">
      <c r="A18" s="1" t="s">
        <v>81</v>
      </c>
      <c r="B18" s="78">
        <f>'District Budget'!B7</f>
        <v>1.5E-3</v>
      </c>
      <c r="C18" s="7" t="s">
        <v>409</v>
      </c>
      <c r="D18" s="1"/>
      <c r="E18" s="1"/>
      <c r="F18" s="1"/>
      <c r="G18" s="1"/>
      <c r="H18" s="1"/>
    </row>
    <row r="19" spans="1:8">
      <c r="A19" s="1" t="s">
        <v>82</v>
      </c>
      <c r="B19" s="78">
        <f>'District Budget'!B8</f>
        <v>1.5E-3</v>
      </c>
      <c r="C19" s="7" t="s">
        <v>410</v>
      </c>
      <c r="D19" s="1"/>
      <c r="E19" s="1"/>
      <c r="F19" s="1"/>
      <c r="G19" s="1"/>
      <c r="H19" s="1"/>
    </row>
    <row r="20" spans="1:8">
      <c r="A20" s="1" t="s">
        <v>83</v>
      </c>
      <c r="B20" s="76">
        <f>'District Budget'!C30</f>
        <v>20000</v>
      </c>
      <c r="C20" s="7" t="s">
        <v>411</v>
      </c>
      <c r="D20" s="1"/>
      <c r="E20" s="1"/>
      <c r="F20" s="1"/>
      <c r="G20" s="1"/>
      <c r="H20" s="1"/>
    </row>
    <row r="21" spans="1:8">
      <c r="A21" s="1" t="s">
        <v>84</v>
      </c>
      <c r="B21" s="76">
        <f>'District Budget'!B40</f>
        <v>275</v>
      </c>
      <c r="C21" s="7" t="s">
        <v>412</v>
      </c>
      <c r="D21" s="1"/>
      <c r="E21" s="1"/>
      <c r="F21" s="1"/>
      <c r="G21" s="1"/>
      <c r="H21" s="1"/>
    </row>
    <row r="22" spans="1:8">
      <c r="A22" s="7" t="s">
        <v>276</v>
      </c>
      <c r="B22" s="109">
        <f>'District Budget'!C41</f>
        <v>221218</v>
      </c>
      <c r="C22" s="7" t="s">
        <v>413</v>
      </c>
      <c r="D22" s="1"/>
      <c r="E22" s="1"/>
      <c r="F22" s="1"/>
      <c r="G22" s="1"/>
      <c r="H22" s="1"/>
    </row>
    <row r="23" spans="1:8">
      <c r="A23" s="1" t="s">
        <v>23</v>
      </c>
      <c r="B23" s="113">
        <f>AVERAGE('District Budget'!C42,'District Budget'!D42)</f>
        <v>2913</v>
      </c>
      <c r="C23" s="7" t="s">
        <v>307</v>
      </c>
      <c r="D23" s="1"/>
      <c r="E23" s="1"/>
      <c r="F23" s="1"/>
      <c r="G23" s="1"/>
      <c r="H23" s="1"/>
    </row>
    <row r="24" spans="1:8">
      <c r="A24" s="7" t="s">
        <v>24</v>
      </c>
      <c r="B24" s="109">
        <f>'District Budget'!C43</f>
        <v>133223</v>
      </c>
      <c r="C24" s="7" t="s">
        <v>308</v>
      </c>
      <c r="D24" s="1"/>
      <c r="E24" s="1"/>
      <c r="F24" s="1"/>
      <c r="G24" s="1"/>
      <c r="H24" s="1"/>
    </row>
    <row r="25" spans="1:8">
      <c r="A25" s="1" t="s">
        <v>25</v>
      </c>
      <c r="B25" s="113">
        <f>AVERAGE('District Budget'!C44,'District Budget'!D44)</f>
        <v>3731.5</v>
      </c>
      <c r="C25" s="7" t="s">
        <v>309</v>
      </c>
      <c r="D25" s="1"/>
      <c r="E25" s="1"/>
      <c r="F25" s="1"/>
      <c r="G25" s="1"/>
      <c r="H25" s="1"/>
    </row>
    <row r="26" spans="1:8">
      <c r="A26" s="1" t="s">
        <v>26</v>
      </c>
      <c r="B26" s="113">
        <f>AVERAGE('District Budget'!C45,'District Budget'!D45)</f>
        <v>23023</v>
      </c>
      <c r="C26" s="7" t="s">
        <v>310</v>
      </c>
      <c r="D26" s="1"/>
      <c r="E26" s="1"/>
      <c r="F26" s="1"/>
      <c r="G26" s="1"/>
      <c r="H26" s="1"/>
    </row>
    <row r="27" spans="1:8">
      <c r="A27" s="1" t="s">
        <v>27</v>
      </c>
      <c r="B27" s="113">
        <f>AVERAGE('District Budget'!C46,'District Budget'!D46)</f>
        <v>787</v>
      </c>
      <c r="C27" s="7" t="s">
        <v>311</v>
      </c>
      <c r="D27" s="1"/>
      <c r="E27" s="1"/>
      <c r="F27" s="1"/>
      <c r="G27" s="1"/>
      <c r="H27" s="1"/>
    </row>
    <row r="28" spans="1:8">
      <c r="A28" s="1" t="s">
        <v>28</v>
      </c>
      <c r="B28" s="76">
        <f>'District Budget'!C47</f>
        <v>5000</v>
      </c>
      <c r="C28" s="7" t="s">
        <v>404</v>
      </c>
      <c r="D28" s="1"/>
      <c r="E28" s="1"/>
      <c r="F28" s="1"/>
      <c r="G28" s="1"/>
      <c r="H28" s="1"/>
    </row>
    <row r="29" spans="1:8">
      <c r="A29" s="1"/>
      <c r="B29" s="4"/>
      <c r="C29" s="7"/>
      <c r="D29" s="1"/>
      <c r="E29" s="1"/>
      <c r="F29" s="1"/>
      <c r="G29" s="1"/>
      <c r="H29" s="1"/>
    </row>
    <row r="30" spans="1:8">
      <c r="A30" s="7" t="s">
        <v>312</v>
      </c>
      <c r="B30" s="108">
        <f>SUM(B74:B77)</f>
        <v>7.75</v>
      </c>
      <c r="C30" s="7" t="s">
        <v>313</v>
      </c>
      <c r="D30" s="1"/>
      <c r="E30" s="1"/>
      <c r="F30" s="1"/>
      <c r="G30" s="1"/>
      <c r="H30" s="1"/>
    </row>
    <row r="31" spans="1:8">
      <c r="A31" s="7" t="s">
        <v>314</v>
      </c>
      <c r="B31" s="108">
        <f>SUM(B79:B81)</f>
        <v>9.15</v>
      </c>
      <c r="C31" s="7" t="s">
        <v>315</v>
      </c>
      <c r="D31" s="1"/>
      <c r="E31" s="1"/>
      <c r="F31" s="1"/>
      <c r="G31" s="1"/>
      <c r="H31" s="1"/>
    </row>
    <row r="32" spans="1:8">
      <c r="A32" s="1" t="s">
        <v>85</v>
      </c>
      <c r="B32" s="79">
        <f>Inputs!B98</f>
        <v>0.44</v>
      </c>
      <c r="C32" s="7" t="s">
        <v>316</v>
      </c>
      <c r="D32" s="1"/>
      <c r="E32" s="1"/>
      <c r="F32" s="1"/>
      <c r="G32" s="1"/>
      <c r="H32" s="1"/>
    </row>
    <row r="33" spans="1:8">
      <c r="D33" s="1"/>
      <c r="E33" s="1"/>
      <c r="F33" s="1"/>
      <c r="G33" s="1"/>
      <c r="H33" s="1"/>
    </row>
    <row r="34" spans="1:8">
      <c r="A34" s="1" t="s">
        <v>317</v>
      </c>
      <c r="B34" s="5">
        <v>2</v>
      </c>
      <c r="C34" s="7" t="s">
        <v>86</v>
      </c>
      <c r="D34" s="1"/>
      <c r="E34" s="1"/>
      <c r="F34" s="1"/>
      <c r="G34" s="1"/>
      <c r="H34" s="1"/>
    </row>
    <row r="35" spans="1:8">
      <c r="A35" s="1" t="s">
        <v>318</v>
      </c>
      <c r="B35" s="5">
        <v>3.5</v>
      </c>
      <c r="C35" s="7" t="s">
        <v>87</v>
      </c>
      <c r="D35" s="1"/>
      <c r="E35" s="1"/>
      <c r="F35" s="1"/>
      <c r="G35" s="1"/>
      <c r="H35" s="1"/>
    </row>
    <row r="36" spans="1:8">
      <c r="A36" s="1" t="s">
        <v>88</v>
      </c>
      <c r="B36" s="79">
        <f>Inputs!B108</f>
        <v>0.5</v>
      </c>
      <c r="C36" s="7" t="s">
        <v>319</v>
      </c>
      <c r="D36" s="1"/>
      <c r="E36" s="1"/>
      <c r="F36" s="1"/>
      <c r="G36" s="1"/>
      <c r="H36" s="1"/>
    </row>
    <row r="37" spans="1:8">
      <c r="A37" s="1" t="s">
        <v>89</v>
      </c>
      <c r="B37" s="5">
        <v>3</v>
      </c>
      <c r="C37" s="7" t="s">
        <v>320</v>
      </c>
      <c r="D37" s="1"/>
      <c r="E37" s="1"/>
      <c r="F37" s="1"/>
      <c r="G37" s="1"/>
      <c r="H37" s="1"/>
    </row>
    <row r="38" spans="1:8">
      <c r="A38" s="1" t="s">
        <v>90</v>
      </c>
      <c r="B38" s="79">
        <f>'District Budget'!C11</f>
        <v>1</v>
      </c>
      <c r="C38" s="7" t="s">
        <v>321</v>
      </c>
      <c r="D38" s="1"/>
      <c r="E38" s="1"/>
      <c r="F38" s="1"/>
      <c r="G38" s="1"/>
      <c r="H38" s="1"/>
    </row>
    <row r="39" spans="1:8">
      <c r="A39" s="1" t="s">
        <v>91</v>
      </c>
      <c r="B39" s="79">
        <f>'District Budget'!C2</f>
        <v>24.75</v>
      </c>
      <c r="C39" s="7" t="s">
        <v>322</v>
      </c>
      <c r="D39" s="1"/>
      <c r="E39" s="1"/>
      <c r="F39" s="1"/>
      <c r="G39" s="1"/>
      <c r="H39" s="1"/>
    </row>
    <row r="40" spans="1:8">
      <c r="A40" s="1" t="s">
        <v>92</v>
      </c>
      <c r="B40" s="79">
        <f>'District Budget'!C20</f>
        <v>15.09</v>
      </c>
      <c r="C40" s="7" t="s">
        <v>323</v>
      </c>
      <c r="D40" s="1"/>
      <c r="E40" s="1"/>
      <c r="F40" s="1"/>
      <c r="G40" s="1"/>
      <c r="H40" s="1"/>
    </row>
    <row r="41" spans="1:8">
      <c r="A41" s="1"/>
      <c r="B41" s="1"/>
      <c r="C41" s="7"/>
      <c r="D41" s="1"/>
      <c r="E41" s="1"/>
      <c r="F41" s="1"/>
      <c r="G41" s="1"/>
      <c r="H41" s="1"/>
    </row>
    <row r="42" spans="1:8">
      <c r="A42" s="1"/>
      <c r="B42" s="1"/>
      <c r="C42" s="7"/>
      <c r="D42" s="1"/>
      <c r="E42" s="1"/>
      <c r="F42" s="1"/>
      <c r="G42" s="1"/>
      <c r="H42" s="1"/>
    </row>
    <row r="43" spans="1:8">
      <c r="A43" s="1" t="s">
        <v>93</v>
      </c>
      <c r="B43" s="1"/>
      <c r="C43" s="7"/>
      <c r="D43" s="1"/>
      <c r="E43" s="1"/>
      <c r="F43" s="1"/>
      <c r="G43" s="1"/>
      <c r="H43" s="1"/>
    </row>
    <row r="44" spans="1:8">
      <c r="A44" s="1"/>
      <c r="B44" s="1"/>
      <c r="C44" s="7"/>
      <c r="D44" s="1"/>
      <c r="E44" s="1"/>
      <c r="F44" s="1"/>
      <c r="G44" s="1"/>
      <c r="H44" s="1"/>
    </row>
    <row r="45" spans="1:8">
      <c r="A45" s="1" t="s">
        <v>94</v>
      </c>
      <c r="B45" s="1"/>
      <c r="C45" s="7" t="s">
        <v>95</v>
      </c>
      <c r="D45" s="1"/>
      <c r="E45" s="1"/>
      <c r="F45" s="1"/>
      <c r="G45" s="1"/>
      <c r="H45" s="1"/>
    </row>
    <row r="46" spans="1:8">
      <c r="A46" s="1" t="s">
        <v>96</v>
      </c>
      <c r="B46" s="1"/>
      <c r="C46" s="7" t="s">
        <v>324</v>
      </c>
      <c r="D46" s="1"/>
      <c r="E46" s="1"/>
      <c r="F46" s="1"/>
      <c r="G46" s="1"/>
      <c r="H46" s="1"/>
    </row>
    <row r="47" spans="1:8">
      <c r="A47" s="1" t="s">
        <v>97</v>
      </c>
      <c r="B47" s="1"/>
      <c r="C47" s="7" t="s">
        <v>98</v>
      </c>
      <c r="D47" s="1"/>
      <c r="E47" s="1"/>
      <c r="F47" s="1"/>
      <c r="G47" s="1"/>
      <c r="H47" s="1"/>
    </row>
    <row r="48" spans="1:8">
      <c r="A48" s="1" t="s">
        <v>99</v>
      </c>
      <c r="B48" s="1"/>
      <c r="C48" s="7" t="s">
        <v>325</v>
      </c>
      <c r="D48" s="1"/>
      <c r="E48" s="1"/>
      <c r="F48" s="1"/>
      <c r="G48" s="1"/>
      <c r="H48" s="1"/>
    </row>
    <row r="49" spans="1:8">
      <c r="A49" s="1" t="s">
        <v>100</v>
      </c>
      <c r="B49" s="1"/>
      <c r="C49" s="7" t="s">
        <v>101</v>
      </c>
      <c r="D49" s="1"/>
      <c r="E49" s="1"/>
      <c r="F49" s="1"/>
      <c r="G49" s="1"/>
      <c r="H49" s="1"/>
    </row>
    <row r="50" spans="1:8">
      <c r="A50" s="7" t="s">
        <v>102</v>
      </c>
      <c r="B50" s="7"/>
      <c r="C50" s="7" t="s">
        <v>326</v>
      </c>
      <c r="D50" s="1"/>
      <c r="E50" s="1"/>
      <c r="F50" s="1"/>
      <c r="G50" s="1"/>
      <c r="H50" s="1"/>
    </row>
    <row r="51" spans="1:8">
      <c r="A51" s="1" t="s">
        <v>103</v>
      </c>
      <c r="B51" s="1"/>
      <c r="C51" s="7" t="s">
        <v>104</v>
      </c>
      <c r="D51" s="1"/>
      <c r="E51" s="1"/>
      <c r="F51" s="1"/>
      <c r="G51" s="1"/>
      <c r="H51" s="1"/>
    </row>
    <row r="52" spans="1:8">
      <c r="A52" s="1" t="s">
        <v>105</v>
      </c>
      <c r="B52" s="1"/>
      <c r="C52" s="7" t="s">
        <v>327</v>
      </c>
      <c r="D52" s="1"/>
      <c r="E52" s="1"/>
      <c r="F52" s="1"/>
      <c r="G52" s="1"/>
      <c r="H52" s="1"/>
    </row>
    <row r="53" spans="1:8">
      <c r="A53" s="7" t="s">
        <v>106</v>
      </c>
      <c r="B53" s="7"/>
      <c r="C53" s="7" t="s">
        <v>328</v>
      </c>
      <c r="D53" s="1"/>
      <c r="E53" s="1"/>
      <c r="F53" s="1"/>
      <c r="G53" s="1"/>
      <c r="H53" s="1"/>
    </row>
    <row r="54" spans="1:8">
      <c r="A54" s="1" t="s">
        <v>107</v>
      </c>
      <c r="B54" s="1"/>
      <c r="C54" s="7" t="s">
        <v>329</v>
      </c>
      <c r="D54" s="1"/>
      <c r="E54" s="1"/>
      <c r="F54" s="1"/>
      <c r="G54" s="1"/>
      <c r="H54" s="1"/>
    </row>
    <row r="55" spans="1:8">
      <c r="A55" s="7" t="s">
        <v>330</v>
      </c>
      <c r="B55" s="7"/>
      <c r="C55" s="7" t="s">
        <v>414</v>
      </c>
      <c r="D55" s="1"/>
      <c r="E55" s="1"/>
      <c r="F55" s="1"/>
      <c r="G55" s="1"/>
      <c r="H55" s="1"/>
    </row>
    <row r="56" spans="1:8">
      <c r="A56" s="1"/>
      <c r="B56" s="1"/>
      <c r="C56" s="7"/>
      <c r="D56" s="1"/>
      <c r="E56" s="1"/>
      <c r="F56" s="1"/>
      <c r="G56" s="1"/>
      <c r="H56" s="1"/>
    </row>
    <row r="57" spans="1:8">
      <c r="A57" s="1"/>
      <c r="B57" s="1"/>
      <c r="C57" s="7"/>
      <c r="D57" s="1"/>
      <c r="E57" s="1"/>
      <c r="F57" s="1"/>
      <c r="G57" s="1"/>
      <c r="H57" s="1"/>
    </row>
    <row r="58" spans="1:8">
      <c r="A58" s="1" t="s">
        <v>108</v>
      </c>
      <c r="B58" s="1"/>
      <c r="C58" s="7"/>
      <c r="D58" s="1"/>
      <c r="E58" s="1"/>
      <c r="F58" s="1"/>
      <c r="G58" s="1"/>
      <c r="H58" s="1"/>
    </row>
    <row r="59" spans="1:8">
      <c r="A59" s="1"/>
      <c r="B59" s="1"/>
      <c r="C59" s="7"/>
      <c r="D59" s="1"/>
      <c r="E59" s="1"/>
      <c r="F59" s="1"/>
      <c r="G59" s="1"/>
      <c r="H59" s="1"/>
    </row>
    <row r="60" spans="1:8">
      <c r="A60" s="3" t="s">
        <v>109</v>
      </c>
      <c r="B60" s="3" t="s">
        <v>2</v>
      </c>
      <c r="C60" s="7"/>
      <c r="D60" s="1"/>
      <c r="E60" s="1"/>
      <c r="F60" s="1"/>
      <c r="G60" s="1"/>
      <c r="H60" s="1"/>
    </row>
    <row r="61" spans="1:8">
      <c r="A61" s="1" t="s">
        <v>110</v>
      </c>
      <c r="B61" s="76">
        <f>'District Budget'!D40</f>
        <v>4325</v>
      </c>
      <c r="C61" s="7" t="s">
        <v>331</v>
      </c>
      <c r="D61" s="1"/>
      <c r="E61" s="1"/>
      <c r="F61" s="1"/>
      <c r="G61" s="1"/>
      <c r="H61" s="1"/>
    </row>
    <row r="62" spans="1:8">
      <c r="A62" s="1" t="s">
        <v>111</v>
      </c>
      <c r="B62" s="76">
        <f>'District Budget'!D41</f>
        <v>106097</v>
      </c>
      <c r="C62" s="7"/>
      <c r="D62" s="1"/>
      <c r="E62" s="1"/>
      <c r="F62" s="1"/>
      <c r="G62" s="1"/>
      <c r="H62" s="1"/>
    </row>
    <row r="63" spans="1:8">
      <c r="A63" s="1" t="s">
        <v>23</v>
      </c>
      <c r="B63" s="76">
        <f>'District Budget'!D42</f>
        <v>826</v>
      </c>
      <c r="C63" s="7"/>
      <c r="D63" s="1"/>
      <c r="E63" s="1"/>
      <c r="F63" s="1"/>
      <c r="G63" s="1"/>
      <c r="H63" s="1"/>
    </row>
    <row r="64" spans="1:8">
      <c r="A64" s="1" t="s">
        <v>24</v>
      </c>
      <c r="B64" s="76">
        <f>'District Budget'!D43</f>
        <v>174114</v>
      </c>
      <c r="C64" s="7"/>
      <c r="D64" s="1"/>
      <c r="E64" s="1"/>
      <c r="F64" s="1"/>
      <c r="G64" s="1"/>
      <c r="H64" s="1"/>
    </row>
    <row r="65" spans="1:8">
      <c r="A65" s="1" t="s">
        <v>25</v>
      </c>
      <c r="B65" s="76">
        <f>'District Budget'!D44</f>
        <v>2463</v>
      </c>
      <c r="C65" s="7"/>
      <c r="D65" s="1"/>
      <c r="E65" s="1"/>
      <c r="F65" s="1"/>
      <c r="G65" s="1"/>
      <c r="H65" s="1"/>
    </row>
    <row r="66" spans="1:8">
      <c r="A66" s="1" t="s">
        <v>26</v>
      </c>
      <c r="B66" s="76">
        <f>'District Budget'!D45</f>
        <v>21046</v>
      </c>
      <c r="C66" s="7"/>
      <c r="D66" s="1"/>
      <c r="E66" s="1"/>
      <c r="F66" s="1"/>
      <c r="G66" s="1"/>
      <c r="H66" s="1"/>
    </row>
    <row r="67" spans="1:8">
      <c r="A67" s="1" t="s">
        <v>112</v>
      </c>
      <c r="B67" s="76">
        <f>'District Budget'!D46</f>
        <v>924</v>
      </c>
      <c r="C67" s="7"/>
      <c r="D67" s="1"/>
      <c r="E67" s="1"/>
      <c r="F67" s="1"/>
      <c r="G67" s="1"/>
      <c r="H67" s="1"/>
    </row>
    <row r="68" spans="1:8">
      <c r="A68" s="1" t="s">
        <v>113</v>
      </c>
      <c r="B68" s="76">
        <f>'District Budget'!D47</f>
        <v>0</v>
      </c>
      <c r="C68" s="7"/>
      <c r="D68" s="1"/>
      <c r="E68" s="1"/>
      <c r="F68" s="1"/>
      <c r="G68" s="1"/>
      <c r="H68" s="1"/>
    </row>
    <row r="69" spans="1:8">
      <c r="A69" s="1"/>
      <c r="B69" s="1"/>
      <c r="C69" s="7"/>
      <c r="D69" s="1"/>
      <c r="E69" s="1"/>
      <c r="F69" s="1"/>
      <c r="G69" s="1"/>
      <c r="H69" s="1"/>
    </row>
    <row r="70" spans="1:8">
      <c r="A70" s="1"/>
      <c r="B70" s="1"/>
      <c r="C70" s="7"/>
      <c r="D70" s="1"/>
      <c r="E70" s="1"/>
      <c r="F70" s="1"/>
      <c r="G70" s="1"/>
      <c r="H70" s="1"/>
    </row>
    <row r="71" spans="1:8">
      <c r="A71" s="1"/>
      <c r="B71" s="1"/>
      <c r="C71" s="7"/>
      <c r="D71" s="1"/>
      <c r="E71" s="1"/>
      <c r="F71" s="1"/>
      <c r="G71" s="1"/>
      <c r="H71" s="1"/>
    </row>
    <row r="72" spans="1:8">
      <c r="A72" s="3" t="s">
        <v>114</v>
      </c>
      <c r="B72" s="3" t="s">
        <v>7</v>
      </c>
      <c r="C72" s="15" t="s">
        <v>115</v>
      </c>
      <c r="D72" s="1"/>
      <c r="E72" s="1"/>
      <c r="F72" s="1"/>
      <c r="G72" s="1"/>
      <c r="H72" s="1"/>
    </row>
    <row r="73" spans="1:8">
      <c r="A73" s="1" t="s">
        <v>116</v>
      </c>
      <c r="B73" s="1"/>
      <c r="C73" s="7" t="s">
        <v>332</v>
      </c>
      <c r="D73" s="1"/>
      <c r="E73" s="1"/>
      <c r="F73" s="1"/>
      <c r="G73" s="1"/>
      <c r="H73" s="1"/>
    </row>
    <row r="74" spans="1:8">
      <c r="A74" s="1" t="s">
        <v>117</v>
      </c>
      <c r="B74" s="80">
        <v>4</v>
      </c>
      <c r="C74" s="7" t="s">
        <v>118</v>
      </c>
      <c r="D74" s="1"/>
      <c r="E74" s="1"/>
      <c r="F74" s="1"/>
      <c r="G74" s="1"/>
      <c r="H74" s="1"/>
    </row>
    <row r="75" spans="1:8">
      <c r="A75" s="1" t="s">
        <v>119</v>
      </c>
      <c r="B75" s="80">
        <v>2</v>
      </c>
      <c r="C75" s="7" t="s">
        <v>118</v>
      </c>
      <c r="D75" s="1"/>
      <c r="E75" s="1"/>
      <c r="F75" s="1"/>
      <c r="G75" s="1"/>
      <c r="H75" s="1"/>
    </row>
    <row r="76" spans="1:8">
      <c r="A76" s="7" t="s">
        <v>120</v>
      </c>
      <c r="B76" s="110">
        <v>0.75</v>
      </c>
      <c r="C76" s="7" t="s">
        <v>333</v>
      </c>
      <c r="D76" s="1"/>
      <c r="E76" s="1"/>
      <c r="F76" s="1"/>
      <c r="G76" s="1"/>
      <c r="H76" s="1"/>
    </row>
    <row r="77" spans="1:8">
      <c r="A77" s="7" t="s">
        <v>121</v>
      </c>
      <c r="B77" s="110">
        <v>1</v>
      </c>
      <c r="C77" s="7" t="s">
        <v>333</v>
      </c>
      <c r="D77" s="1"/>
      <c r="E77" s="1"/>
      <c r="F77" s="1"/>
      <c r="G77" s="1"/>
      <c r="H77" s="1"/>
    </row>
    <row r="78" spans="1:8">
      <c r="A78" s="1" t="s">
        <v>122</v>
      </c>
      <c r="B78" s="5"/>
      <c r="C78" s="7" t="s">
        <v>123</v>
      </c>
      <c r="D78" s="1"/>
      <c r="E78" s="1"/>
      <c r="F78" s="1"/>
      <c r="G78" s="1"/>
      <c r="H78" s="1"/>
    </row>
    <row r="79" spans="1:8">
      <c r="A79" s="1" t="s">
        <v>124</v>
      </c>
      <c r="B79" s="80">
        <v>7.92</v>
      </c>
      <c r="C79" s="7" t="s">
        <v>125</v>
      </c>
      <c r="D79" s="1"/>
      <c r="E79" s="1"/>
      <c r="F79" s="1"/>
      <c r="G79" s="1"/>
      <c r="H79" s="1"/>
    </row>
    <row r="80" spans="1:8">
      <c r="A80" s="7" t="s">
        <v>126</v>
      </c>
      <c r="B80" s="110">
        <v>0.35</v>
      </c>
      <c r="C80" s="7" t="s">
        <v>333</v>
      </c>
      <c r="D80" s="1"/>
      <c r="E80" s="1"/>
      <c r="F80" s="1"/>
      <c r="G80" s="1"/>
      <c r="H80" s="1"/>
    </row>
    <row r="81" spans="1:8">
      <c r="A81" s="1" t="s">
        <v>127</v>
      </c>
      <c r="B81" s="80">
        <v>0.88</v>
      </c>
      <c r="C81" s="7" t="s">
        <v>128</v>
      </c>
      <c r="D81" s="1"/>
      <c r="E81" s="1"/>
      <c r="F81" s="1"/>
      <c r="G81" s="1"/>
      <c r="H81" s="1"/>
    </row>
    <row r="82" spans="1:8">
      <c r="A82" s="1"/>
      <c r="B82" s="5"/>
      <c r="C82" s="7"/>
      <c r="D82" s="1"/>
      <c r="E82" s="1"/>
      <c r="F82" s="1"/>
      <c r="G82" s="1"/>
      <c r="H82" s="1"/>
    </row>
    <row r="83" spans="1:8">
      <c r="A83" s="1" t="s">
        <v>129</v>
      </c>
      <c r="B83" s="10">
        <f>'District Budget'!C2-SUM(B74:B77)</f>
        <v>17</v>
      </c>
      <c r="C83" s="7" t="s">
        <v>334</v>
      </c>
      <c r="D83" s="1"/>
      <c r="E83" s="1"/>
      <c r="F83" s="1"/>
      <c r="G83" s="1"/>
      <c r="H83" s="1"/>
    </row>
    <row r="84" spans="1:8">
      <c r="A84" s="1"/>
      <c r="B84" s="1"/>
      <c r="C84" s="7"/>
      <c r="D84" s="1"/>
      <c r="E84" s="1"/>
      <c r="F84" s="1"/>
      <c r="G84" s="1"/>
      <c r="H84" s="1"/>
    </row>
    <row r="85" spans="1:8">
      <c r="A85" s="1"/>
      <c r="B85" s="1"/>
      <c r="C85" s="7"/>
      <c r="D85" s="1"/>
      <c r="E85" s="1"/>
      <c r="F85" s="1"/>
      <c r="G85" s="1"/>
      <c r="H85" s="1"/>
    </row>
    <row r="86" spans="1:8">
      <c r="A86" s="1" t="s">
        <v>130</v>
      </c>
      <c r="B86" s="10">
        <f>'Rules and Capacity'!B15</f>
        <v>2.5144250000000001</v>
      </c>
      <c r="C86" s="7" t="s">
        <v>335</v>
      </c>
      <c r="D86" s="1"/>
      <c r="E86" s="1"/>
      <c r="F86" s="1"/>
      <c r="G86" s="1"/>
      <c r="H86" s="1"/>
    </row>
    <row r="87" spans="1:8">
      <c r="A87" s="1" t="s">
        <v>131</v>
      </c>
      <c r="B87" s="10">
        <f>'Rules and Capacity'!B17</f>
        <v>1.0545454545454545</v>
      </c>
      <c r="C87" s="7" t="s">
        <v>336</v>
      </c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91" spans="1:8" ht="25.5">
      <c r="A91" s="85" t="s">
        <v>337</v>
      </c>
      <c r="B91" s="85"/>
      <c r="C91" s="85"/>
    </row>
    <row r="92" spans="1:8">
      <c r="A92" s="84"/>
      <c r="B92" s="84"/>
      <c r="C92" s="84"/>
    </row>
    <row r="93" spans="1:8">
      <c r="A93" s="84" t="s">
        <v>140</v>
      </c>
      <c r="B93" s="86">
        <v>54177</v>
      </c>
      <c r="C93" s="84" t="s">
        <v>338</v>
      </c>
    </row>
    <row r="94" spans="1:8">
      <c r="A94" s="84" t="s">
        <v>339</v>
      </c>
      <c r="B94" s="86">
        <v>20000</v>
      </c>
      <c r="C94" s="84" t="s">
        <v>340</v>
      </c>
    </row>
    <row r="95" spans="1:8">
      <c r="A95" s="84" t="s">
        <v>341</v>
      </c>
      <c r="B95" s="86">
        <v>125</v>
      </c>
      <c r="C95" s="84" t="s">
        <v>340</v>
      </c>
    </row>
    <row r="96" spans="1:8">
      <c r="A96" s="84" t="s">
        <v>342</v>
      </c>
      <c r="B96" s="86">
        <v>275</v>
      </c>
      <c r="C96" s="84" t="s">
        <v>343</v>
      </c>
    </row>
    <row r="97" spans="1:3">
      <c r="A97" s="84" t="s">
        <v>344</v>
      </c>
      <c r="B97" s="86">
        <v>0.38</v>
      </c>
      <c r="C97" s="84" t="s">
        <v>345</v>
      </c>
    </row>
    <row r="98" spans="1:3">
      <c r="A98" s="84" t="s">
        <v>346</v>
      </c>
      <c r="B98" s="86">
        <v>0.44</v>
      </c>
      <c r="C98" s="84" t="s">
        <v>345</v>
      </c>
    </row>
    <row r="99" spans="1:3">
      <c r="A99" s="84" t="s">
        <v>347</v>
      </c>
      <c r="B99" s="86">
        <v>250</v>
      </c>
      <c r="C99" s="84" t="s">
        <v>348</v>
      </c>
    </row>
    <row r="100" spans="1:3">
      <c r="A100" s="84" t="s">
        <v>349</v>
      </c>
      <c r="B100" s="86">
        <v>22.5</v>
      </c>
      <c r="C100" s="84" t="s">
        <v>350</v>
      </c>
    </row>
    <row r="101" spans="1:3">
      <c r="A101" s="84" t="s">
        <v>351</v>
      </c>
      <c r="B101" s="86">
        <v>24.5</v>
      </c>
      <c r="C101" s="84" t="s">
        <v>350</v>
      </c>
    </row>
    <row r="102" spans="1:3">
      <c r="A102" s="84" t="s">
        <v>352</v>
      </c>
      <c r="B102" s="86">
        <v>26.5</v>
      </c>
      <c r="C102" s="84" t="s">
        <v>350</v>
      </c>
    </row>
    <row r="103" spans="1:3">
      <c r="A103" s="84" t="s">
        <v>353</v>
      </c>
      <c r="B103" s="86">
        <v>2</v>
      </c>
      <c r="C103" s="84" t="s">
        <v>354</v>
      </c>
    </row>
    <row r="104" spans="1:3">
      <c r="A104" s="84" t="s">
        <v>355</v>
      </c>
      <c r="B104" s="86">
        <v>200</v>
      </c>
      <c r="C104" s="84" t="s">
        <v>356</v>
      </c>
    </row>
    <row r="105" spans="1:3">
      <c r="A105" s="84" t="s">
        <v>357</v>
      </c>
      <c r="B105" s="86">
        <v>350</v>
      </c>
      <c r="C105" s="84" t="s">
        <v>358</v>
      </c>
    </row>
    <row r="106" spans="1:3">
      <c r="A106" s="84" t="s">
        <v>359</v>
      </c>
      <c r="B106" s="86">
        <v>0.3</v>
      </c>
      <c r="C106" s="84" t="s">
        <v>360</v>
      </c>
    </row>
    <row r="107" spans="1:3">
      <c r="A107" s="84" t="s">
        <v>361</v>
      </c>
      <c r="B107" s="86">
        <v>0.7</v>
      </c>
      <c r="C107" s="84" t="s">
        <v>362</v>
      </c>
    </row>
    <row r="108" spans="1:3">
      <c r="A108" s="84" t="s">
        <v>363</v>
      </c>
      <c r="B108" s="86">
        <v>0.5</v>
      </c>
      <c r="C108" s="84" t="s">
        <v>364</v>
      </c>
    </row>
    <row r="109" spans="1:3">
      <c r="A109" s="84" t="s">
        <v>365</v>
      </c>
      <c r="B109" s="86">
        <v>21.5</v>
      </c>
      <c r="C109" s="84" t="s">
        <v>366</v>
      </c>
    </row>
    <row r="110" spans="1:3">
      <c r="A110" s="84" t="s">
        <v>367</v>
      </c>
      <c r="B110" s="86">
        <v>100</v>
      </c>
      <c r="C110" s="84" t="s">
        <v>368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2B7450"/>
  </sheetPr>
  <dimension ref="A1:H88"/>
  <sheetViews>
    <sheetView showGridLines="0" workbookViewId="0">
      <pane ySplit="6" topLeftCell="A10" activePane="bottomLeft" state="frozen"/>
      <selection pane="bottomLeft" activeCell="C62" sqref="C62"/>
    </sheetView>
  </sheetViews>
  <sheetFormatPr defaultRowHeight="14.25"/>
  <cols>
    <col min="1" max="1" width="47" customWidth="1"/>
    <col min="2" max="2" width="22" customWidth="1"/>
    <col min="3" max="3" width="88" customWidth="1"/>
    <col min="4" max="8" width="17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9.5">
      <c r="A2" s="2" t="s">
        <v>132</v>
      </c>
      <c r="B2" s="1"/>
      <c r="C2" s="1"/>
      <c r="D2" s="1"/>
      <c r="E2" s="1"/>
      <c r="F2" s="1"/>
      <c r="G2" s="1"/>
      <c r="H2" s="1"/>
    </row>
    <row r="3" spans="1:8">
      <c r="A3" s="1" t="s">
        <v>369</v>
      </c>
      <c r="B3" s="1"/>
      <c r="C3" s="1"/>
      <c r="D3" s="1"/>
      <c r="E3" s="1"/>
      <c r="F3" s="1"/>
      <c r="G3" s="1"/>
      <c r="H3" s="1"/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3" t="s">
        <v>133</v>
      </c>
      <c r="B6" s="3" t="s">
        <v>69</v>
      </c>
      <c r="C6" s="15" t="s">
        <v>370</v>
      </c>
      <c r="D6" s="1"/>
      <c r="E6" s="1"/>
      <c r="F6" s="1"/>
      <c r="G6" s="1"/>
      <c r="H6" s="1"/>
    </row>
    <row r="7" spans="1:8">
      <c r="A7" s="1" t="s">
        <v>72</v>
      </c>
      <c r="B7" s="10">
        <f>Inputs!B8</f>
        <v>290</v>
      </c>
      <c r="C7" s="7" t="s">
        <v>134</v>
      </c>
      <c r="D7" s="1"/>
      <c r="E7" s="1"/>
      <c r="F7" s="1"/>
      <c r="G7" s="1"/>
      <c r="H7" s="1"/>
    </row>
    <row r="8" spans="1:8">
      <c r="A8" s="1" t="s">
        <v>64</v>
      </c>
      <c r="B8" s="10">
        <f>Enrollment!B19</f>
        <v>12</v>
      </c>
      <c r="C8" s="7" t="s">
        <v>135</v>
      </c>
      <c r="D8" s="1"/>
      <c r="E8" s="1"/>
      <c r="F8" s="1"/>
      <c r="G8" s="1"/>
      <c r="H8" s="1"/>
    </row>
    <row r="9" spans="1:8">
      <c r="A9" s="1" t="s">
        <v>136</v>
      </c>
      <c r="B9" s="10">
        <f>Inputs!B37</f>
        <v>3</v>
      </c>
      <c r="C9" s="7" t="s">
        <v>137</v>
      </c>
      <c r="D9" s="1"/>
      <c r="E9" s="1"/>
      <c r="F9" s="1"/>
      <c r="G9" s="1"/>
      <c r="H9" s="1"/>
    </row>
    <row r="10" spans="1:8">
      <c r="A10" s="1" t="s">
        <v>10</v>
      </c>
      <c r="B10" s="10">
        <f>Inputs!B36</f>
        <v>0.5</v>
      </c>
      <c r="C10" s="7" t="s">
        <v>138</v>
      </c>
      <c r="D10" s="1"/>
      <c r="E10" s="1"/>
      <c r="F10" s="1"/>
      <c r="G10" s="1"/>
      <c r="H10" s="1"/>
    </row>
    <row r="11" spans="1:8">
      <c r="A11" s="1" t="s">
        <v>11</v>
      </c>
      <c r="B11" s="10">
        <f>Inputs!B38</f>
        <v>1</v>
      </c>
      <c r="C11" s="7" t="s">
        <v>139</v>
      </c>
      <c r="D11" s="1"/>
      <c r="E11" s="1"/>
      <c r="F11" s="1"/>
      <c r="G11" s="1"/>
      <c r="H11" s="1"/>
    </row>
    <row r="12" spans="1:8">
      <c r="A12" s="1"/>
      <c r="B12" s="6"/>
      <c r="C12" s="7"/>
      <c r="D12" s="1"/>
      <c r="E12" s="1"/>
      <c r="F12" s="1"/>
      <c r="G12" s="1"/>
      <c r="H12" s="1"/>
    </row>
    <row r="13" spans="1:8">
      <c r="A13" s="1" t="s">
        <v>140</v>
      </c>
      <c r="B13" s="79">
        <f>Inputs!B93</f>
        <v>54177</v>
      </c>
      <c r="C13" s="7" t="s">
        <v>415</v>
      </c>
      <c r="D13" s="1"/>
      <c r="E13" s="1"/>
      <c r="F13" s="1"/>
      <c r="G13" s="1"/>
      <c r="H13" s="1"/>
    </row>
    <row r="14" spans="1:8">
      <c r="A14" s="1" t="s">
        <v>141</v>
      </c>
      <c r="B14" s="6">
        <v>1</v>
      </c>
      <c r="C14" s="7" t="s">
        <v>142</v>
      </c>
      <c r="D14" s="1"/>
      <c r="E14" s="1"/>
      <c r="F14" s="1"/>
      <c r="G14" s="1"/>
      <c r="H14" s="1"/>
    </row>
    <row r="15" spans="1:8">
      <c r="A15" s="1" t="s">
        <v>143</v>
      </c>
      <c r="B15" s="10">
        <f>(B13/Inputs!B94+B7/Inputs!B95)/2</f>
        <v>2.5144250000000001</v>
      </c>
      <c r="C15" s="7" t="s">
        <v>144</v>
      </c>
      <c r="D15" s="1"/>
      <c r="E15" s="1"/>
      <c r="F15" s="1"/>
      <c r="G15" s="1"/>
      <c r="H15" s="1"/>
    </row>
    <row r="16" spans="1:8">
      <c r="A16" s="1" t="s">
        <v>145</v>
      </c>
      <c r="B16" s="6">
        <f>B15*B14</f>
        <v>2.5144250000000001</v>
      </c>
      <c r="C16" s="7" t="s">
        <v>371</v>
      </c>
      <c r="D16" s="1"/>
      <c r="E16" s="1"/>
      <c r="F16" s="1"/>
      <c r="G16" s="1"/>
      <c r="H16" s="1"/>
    </row>
    <row r="17" spans="1:8">
      <c r="A17" s="1" t="s">
        <v>146</v>
      </c>
      <c r="B17" s="10">
        <f>IF(B7&lt;=Inputs!B96,1,B7/Inputs!B96)</f>
        <v>1.0545454545454545</v>
      </c>
      <c r="C17" s="7" t="s">
        <v>147</v>
      </c>
      <c r="D17" s="1"/>
      <c r="E17" s="1"/>
      <c r="F17" s="1"/>
      <c r="G17" s="1"/>
      <c r="H17" s="1"/>
    </row>
    <row r="18" spans="1:8">
      <c r="A18" s="1" t="s">
        <v>85</v>
      </c>
      <c r="B18" s="10">
        <f>IF(B7&gt;Inputs!B96,Inputs!B98,Inputs!B97)</f>
        <v>0.44</v>
      </c>
      <c r="C18" s="7" t="s">
        <v>148</v>
      </c>
      <c r="D18" s="1"/>
      <c r="E18" s="1"/>
      <c r="F18" s="1"/>
      <c r="G18" s="1"/>
      <c r="H18" s="1"/>
    </row>
    <row r="19" spans="1:8">
      <c r="A19" s="1"/>
      <c r="B19" s="6"/>
      <c r="C19" s="7"/>
      <c r="D19" s="1"/>
      <c r="E19" s="1"/>
      <c r="F19" s="1"/>
      <c r="G19" s="1"/>
      <c r="H19" s="1"/>
    </row>
    <row r="20" spans="1:8">
      <c r="A20" s="3" t="s">
        <v>149</v>
      </c>
      <c r="B20" s="14"/>
      <c r="C20" s="15" t="s">
        <v>150</v>
      </c>
      <c r="D20" s="1"/>
      <c r="E20" s="1"/>
      <c r="F20" s="1"/>
      <c r="G20" s="1"/>
      <c r="H20" s="1"/>
    </row>
    <row r="21" spans="1:8">
      <c r="A21" s="1" t="s">
        <v>151</v>
      </c>
      <c r="B21" s="87">
        <f>'SoEl CS'!J13</f>
        <v>15</v>
      </c>
      <c r="C21" s="7" t="s">
        <v>372</v>
      </c>
      <c r="D21" s="1"/>
      <c r="E21" s="1"/>
      <c r="F21" s="1"/>
      <c r="G21" s="1"/>
      <c r="H21" s="1"/>
    </row>
    <row r="22" spans="1:8">
      <c r="A22" s="1" t="s">
        <v>152</v>
      </c>
      <c r="B22" s="6"/>
      <c r="C22" s="7" t="s">
        <v>153</v>
      </c>
      <c r="D22" s="1"/>
      <c r="E22" s="1"/>
      <c r="F22" s="1"/>
      <c r="G22" s="1"/>
      <c r="H22" s="1"/>
    </row>
    <row r="23" spans="1:8">
      <c r="A23" s="1" t="s">
        <v>154</v>
      </c>
      <c r="B23" s="6"/>
      <c r="C23" s="7" t="s">
        <v>155</v>
      </c>
      <c r="D23" s="1"/>
      <c r="E23" s="1"/>
      <c r="F23" s="1"/>
      <c r="G23" s="1"/>
      <c r="H23" s="1"/>
    </row>
    <row r="24" spans="1:8">
      <c r="A24" s="1"/>
      <c r="B24" s="6"/>
      <c r="C24" s="7"/>
      <c r="D24" s="1"/>
      <c r="E24" s="1"/>
      <c r="F24" s="1"/>
      <c r="G24" s="1"/>
      <c r="H24" s="1"/>
    </row>
    <row r="25" spans="1:8">
      <c r="A25" s="3" t="s">
        <v>373</v>
      </c>
      <c r="B25" s="14" t="s">
        <v>156</v>
      </c>
      <c r="C25" s="15" t="s">
        <v>374</v>
      </c>
      <c r="D25" s="1"/>
      <c r="E25" s="1"/>
      <c r="F25" s="1"/>
      <c r="G25" s="1"/>
      <c r="H25" s="1"/>
    </row>
    <row r="26" spans="1:8">
      <c r="A26" s="1" t="s">
        <v>117</v>
      </c>
      <c r="B26" s="80">
        <v>3</v>
      </c>
      <c r="C26" s="7" t="s">
        <v>416</v>
      </c>
      <c r="D26" s="1"/>
      <c r="E26" s="1"/>
      <c r="F26" s="1"/>
      <c r="G26" s="1"/>
      <c r="H26" s="1"/>
    </row>
    <row r="27" spans="1:8">
      <c r="A27" s="1" t="s">
        <v>119</v>
      </c>
      <c r="B27" s="80">
        <v>2</v>
      </c>
      <c r="C27" s="7" t="s">
        <v>375</v>
      </c>
      <c r="D27" s="1"/>
      <c r="E27" s="1"/>
      <c r="F27" s="1"/>
      <c r="G27" s="1"/>
      <c r="H27" s="1"/>
    </row>
    <row r="28" spans="1:8" ht="25.5">
      <c r="A28" s="7" t="s">
        <v>157</v>
      </c>
      <c r="B28" s="107">
        <v>0</v>
      </c>
      <c r="C28" s="7" t="s">
        <v>376</v>
      </c>
      <c r="D28" s="1"/>
      <c r="E28" s="1"/>
      <c r="F28" s="1"/>
      <c r="G28" s="1"/>
      <c r="H28" s="1"/>
    </row>
    <row r="29" spans="1:8" ht="25.5">
      <c r="A29" s="7" t="s">
        <v>121</v>
      </c>
      <c r="B29" s="107">
        <v>0</v>
      </c>
      <c r="C29" s="7" t="s">
        <v>377</v>
      </c>
      <c r="D29" s="1"/>
      <c r="E29" s="1"/>
      <c r="F29" s="1"/>
      <c r="G29" s="1"/>
      <c r="H29" s="1"/>
    </row>
    <row r="30" spans="1:8">
      <c r="A30" s="1" t="s">
        <v>158</v>
      </c>
      <c r="B30" s="80">
        <v>0</v>
      </c>
      <c r="C30" s="7" t="s">
        <v>378</v>
      </c>
      <c r="D30" s="1"/>
      <c r="E30" s="1"/>
      <c r="F30" s="1"/>
      <c r="G30" s="1"/>
      <c r="H30" s="1"/>
    </row>
    <row r="31" spans="1:8">
      <c r="A31" s="1" t="s">
        <v>124</v>
      </c>
      <c r="B31" s="80">
        <v>7.33</v>
      </c>
      <c r="C31" s="7" t="s">
        <v>379</v>
      </c>
      <c r="D31" s="1"/>
      <c r="E31" s="1"/>
      <c r="F31" s="1"/>
      <c r="G31" s="1"/>
      <c r="H31" s="1"/>
    </row>
    <row r="32" spans="1:8" ht="25.5">
      <c r="A32" s="7" t="s">
        <v>126</v>
      </c>
      <c r="B32" s="107">
        <v>0</v>
      </c>
      <c r="C32" s="7" t="s">
        <v>380</v>
      </c>
      <c r="D32" s="1"/>
      <c r="E32" s="1"/>
      <c r="F32" s="1"/>
      <c r="G32" s="1"/>
      <c r="H32" s="1"/>
    </row>
    <row r="33" spans="1:8">
      <c r="A33" s="1" t="s">
        <v>43</v>
      </c>
      <c r="B33" s="80">
        <v>0.88</v>
      </c>
      <c r="C33" s="7" t="s">
        <v>381</v>
      </c>
      <c r="D33" s="1"/>
      <c r="E33" s="1"/>
      <c r="F33" s="1"/>
      <c r="G33" s="1"/>
      <c r="H33" s="1"/>
    </row>
    <row r="34" spans="1:8">
      <c r="A34" s="1" t="s">
        <v>159</v>
      </c>
      <c r="B34" s="81">
        <v>0</v>
      </c>
      <c r="C34" s="7" t="s">
        <v>382</v>
      </c>
      <c r="D34" s="1"/>
      <c r="E34" s="1"/>
      <c r="F34" s="1"/>
      <c r="G34" s="1"/>
      <c r="H34" s="1"/>
    </row>
    <row r="35" spans="1:8">
      <c r="A35" s="1" t="s">
        <v>160</v>
      </c>
      <c r="B35" s="81">
        <v>0</v>
      </c>
      <c r="C35" s="7" t="s">
        <v>383</v>
      </c>
      <c r="D35" s="1"/>
      <c r="E35" s="1"/>
      <c r="F35" s="1"/>
      <c r="G35" s="1"/>
      <c r="H35" s="1"/>
    </row>
    <row r="36" spans="1:8">
      <c r="A36" s="1" t="s">
        <v>161</v>
      </c>
      <c r="B36" s="81">
        <v>0</v>
      </c>
      <c r="C36" s="7" t="s">
        <v>384</v>
      </c>
      <c r="D36" s="1"/>
      <c r="E36" s="1"/>
      <c r="F36" s="1"/>
      <c r="G36" s="1"/>
      <c r="H36" s="1"/>
    </row>
    <row r="37" spans="1:8">
      <c r="D37" s="1"/>
      <c r="E37" s="1"/>
      <c r="F37" s="1"/>
      <c r="G37" s="1"/>
      <c r="H37" s="1"/>
    </row>
    <row r="38" spans="1:8">
      <c r="D38" s="1"/>
      <c r="E38" s="1"/>
      <c r="F38" s="1"/>
      <c r="G38" s="1"/>
      <c r="H38" s="1"/>
    </row>
    <row r="39" spans="1:8" ht="25.5">
      <c r="A39" s="7" t="s">
        <v>162</v>
      </c>
      <c r="B39" s="108">
        <f>SUM(B26:B29)</f>
        <v>5</v>
      </c>
      <c r="C39" s="7" t="s">
        <v>385</v>
      </c>
      <c r="D39" s="1"/>
      <c r="E39" s="1"/>
      <c r="F39" s="1"/>
      <c r="G39" s="1"/>
      <c r="H39" s="1"/>
    </row>
    <row r="40" spans="1:8" ht="25.5">
      <c r="A40" s="7" t="s">
        <v>163</v>
      </c>
      <c r="B40" s="108">
        <f>SUM(B30:B33)</f>
        <v>8.2100000000000009</v>
      </c>
      <c r="C40" s="7" t="s">
        <v>386</v>
      </c>
      <c r="D40" s="1"/>
      <c r="E40" s="1"/>
      <c r="F40" s="1"/>
      <c r="G40" s="1"/>
      <c r="H40" s="1"/>
    </row>
    <row r="41" spans="1:8">
      <c r="A41" s="1"/>
      <c r="B41" s="1"/>
      <c r="C41" s="7"/>
      <c r="D41" s="1"/>
      <c r="E41" s="1"/>
      <c r="F41" s="1"/>
      <c r="G41" s="1"/>
      <c r="H41" s="1"/>
    </row>
    <row r="42" spans="1:8">
      <c r="A42" s="1" t="s">
        <v>164</v>
      </c>
      <c r="B42" s="11">
        <f>Inputs!B10*(1+Inputs!B14+SUM(Inputs!B17:B19))+Inputs!B13+Inputs!B21</f>
        <v>134209.24170000001</v>
      </c>
      <c r="C42" s="7" t="s">
        <v>165</v>
      </c>
      <c r="D42" s="1"/>
      <c r="E42" s="1"/>
      <c r="F42" s="1"/>
      <c r="G42" s="1"/>
      <c r="H42" s="1"/>
    </row>
    <row r="43" spans="1:8">
      <c r="A43" s="1" t="s">
        <v>166</v>
      </c>
      <c r="B43" s="11">
        <f>Inputs!B12*(1+SUM(Inputs!B15:B19))+Inputs!B13</f>
        <v>96881.267000000007</v>
      </c>
      <c r="C43" s="7" t="s">
        <v>167</v>
      </c>
      <c r="D43" s="1"/>
      <c r="E43" s="1"/>
      <c r="F43" s="1"/>
      <c r="G43" s="1"/>
      <c r="H43" s="1"/>
    </row>
    <row r="44" spans="1:8">
      <c r="A44" s="1"/>
      <c r="B44" s="8"/>
      <c r="C44" s="7"/>
      <c r="D44" s="1"/>
      <c r="E44" s="1"/>
      <c r="F44" s="1"/>
      <c r="G44" s="1"/>
      <c r="H44" s="1"/>
    </row>
    <row r="45" spans="1:8" ht="25.5">
      <c r="A45" s="1" t="s">
        <v>387</v>
      </c>
      <c r="B45" s="11">
        <f>SUM(B8:B10)*B42+B11*(Inputs!B11*(1+Inputs!B14+SUM(Inputs!B17:B19))+Inputs!B13)+SUM(B16:B18)*B43+Inputs!B20*(1+SUM(Inputs!B16:B19))+SUM(Inputs!B22:B28)</f>
        <v>3057041.1143519301</v>
      </c>
      <c r="C45" s="7" t="s">
        <v>388</v>
      </c>
      <c r="D45" s="1"/>
      <c r="E45" s="1"/>
      <c r="F45" s="1"/>
      <c r="G45" s="1"/>
      <c r="H45" s="1"/>
    </row>
    <row r="46" spans="1:8">
      <c r="A46" s="1" t="s">
        <v>168</v>
      </c>
      <c r="B46" s="11">
        <f>Inputs!B7-B45</f>
        <v>1470102.8856480699</v>
      </c>
      <c r="C46" s="7" t="s">
        <v>169</v>
      </c>
      <c r="D46" s="1"/>
      <c r="E46" s="1"/>
      <c r="F46" s="1"/>
      <c r="G46" s="1"/>
      <c r="H46" s="1"/>
    </row>
    <row r="47" spans="1:8">
      <c r="D47" s="1"/>
      <c r="E47" s="1"/>
      <c r="F47" s="1"/>
      <c r="G47" s="1"/>
      <c r="H47" s="1"/>
    </row>
    <row r="48" spans="1:8">
      <c r="D48" s="1"/>
      <c r="E48" s="1"/>
      <c r="F48" s="1"/>
      <c r="G48" s="1"/>
      <c r="H48" s="1"/>
    </row>
    <row r="49" spans="1:8">
      <c r="A49" s="1"/>
      <c r="B49" s="8"/>
      <c r="C49" s="7"/>
      <c r="D49" s="1"/>
      <c r="E49" s="1"/>
      <c r="F49" s="1"/>
      <c r="G49" s="1"/>
      <c r="H49" s="1"/>
    </row>
    <row r="50" spans="1:8">
      <c r="A50" s="1" t="s">
        <v>389</v>
      </c>
      <c r="B50" s="8">
        <f>B39*B42+B40*B43+SUM(B34:B35)-B36</f>
        <v>1466441.4105700003</v>
      </c>
      <c r="C50" s="7" t="s">
        <v>170</v>
      </c>
      <c r="D50" s="1"/>
      <c r="E50" s="1"/>
      <c r="F50" s="1"/>
      <c r="G50" s="1"/>
      <c r="H50" s="1"/>
    </row>
    <row r="51" spans="1:8">
      <c r="A51" s="1" t="s">
        <v>390</v>
      </c>
      <c r="B51" s="8">
        <f>B45+B50</f>
        <v>4523482.5249219304</v>
      </c>
      <c r="C51" s="7" t="s">
        <v>391</v>
      </c>
      <c r="D51" s="1"/>
      <c r="E51" s="1"/>
      <c r="F51" s="1"/>
      <c r="G51" s="1"/>
      <c r="H51" s="1"/>
    </row>
    <row r="52" spans="1:8">
      <c r="A52" s="1" t="s">
        <v>30</v>
      </c>
      <c r="B52" s="83">
        <f>Inputs!B7-B51</f>
        <v>3661.4750780696049</v>
      </c>
      <c r="C52" s="7" t="s">
        <v>392</v>
      </c>
      <c r="D52" s="1"/>
      <c r="E52" s="1"/>
      <c r="F52" s="1"/>
      <c r="G52" s="1"/>
      <c r="H52" s="1"/>
    </row>
    <row r="53" spans="1:8">
      <c r="D53" s="1"/>
      <c r="E53" s="1"/>
      <c r="F53" s="1"/>
      <c r="G53" s="1"/>
      <c r="H53" s="1"/>
    </row>
    <row r="54" spans="1:8">
      <c r="A54" s="1"/>
      <c r="B54" s="1"/>
      <c r="C54" s="7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</row>
    <row r="56" spans="1:8">
      <c r="A56" s="1"/>
      <c r="B56" s="1"/>
      <c r="C56" s="1"/>
      <c r="D56" s="1"/>
      <c r="E56" s="1"/>
    </row>
    <row r="57" spans="1:8">
      <c r="A57" s="1"/>
      <c r="B57" s="1"/>
      <c r="C57" s="1"/>
      <c r="D57" s="1"/>
      <c r="E57" s="1"/>
    </row>
    <row r="58" spans="1:8">
      <c r="A58" s="1"/>
      <c r="B58" s="1"/>
      <c r="C58" s="1"/>
      <c r="D58" s="1"/>
      <c r="E58" s="1"/>
    </row>
    <row r="59" spans="1:8">
      <c r="A59" s="1"/>
      <c r="B59" s="1"/>
      <c r="C59" s="1"/>
      <c r="D59" s="1"/>
      <c r="E59" s="1"/>
    </row>
    <row r="60" spans="1:8">
      <c r="A60" s="1"/>
      <c r="B60" s="1"/>
      <c r="C60" s="1"/>
      <c r="D60" s="1"/>
      <c r="E60" s="1"/>
    </row>
    <row r="61" spans="1:8">
      <c r="A61" s="1"/>
      <c r="B61" s="1"/>
      <c r="C61" s="1"/>
      <c r="D61" s="1"/>
      <c r="E61" s="1"/>
    </row>
    <row r="62" spans="1:8">
      <c r="A62" s="1"/>
      <c r="B62" s="1"/>
      <c r="C62" s="1"/>
      <c r="D62" s="1"/>
      <c r="E62" s="1"/>
    </row>
    <row r="63" spans="1:8">
      <c r="A63" s="1"/>
      <c r="B63" s="1"/>
      <c r="C63" s="1"/>
      <c r="D63" s="1"/>
      <c r="E63" s="1"/>
    </row>
    <row r="64" spans="1:8">
      <c r="A64" s="1"/>
      <c r="B64" s="1"/>
      <c r="C64" s="7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</sheetData>
  <conditionalFormatting sqref="B52">
    <cfRule type="cellIs" dxfId="2" priority="2" operator="greaterThanOrEqual">
      <formula>0</formula>
    </cfRule>
    <cfRule type="cellIs" dxfId="1" priority="3" operator="lessThan">
      <formula>0</formula>
    </cfRule>
  </conditionalFormatting>
  <conditionalFormatting sqref="B53">
    <cfRule type="cellIs" dxfId="0" priority="1" operator="lessThan">
      <formula>0</formula>
    </cfRule>
  </conditionalFormatting>
  <dataValidations count="2">
    <dataValidation type="decimal" operator="greaterThanOrEqual" sqref="B26:B35" xr:uid="{00000000-0002-0000-0600-000000000000}">
      <formula1>0</formula1>
    </dataValidation>
    <dataValidation type="decimal" sqref="B36" xr:uid="{00000000-0002-0000-0600-000001000000}">
      <formula1>0</formula1>
      <formula2>221218</formula2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2:D53"/>
  <sheetViews>
    <sheetView workbookViewId="0"/>
  </sheetViews>
  <sheetFormatPr defaultRowHeight="14.25"/>
  <cols>
    <col min="1" max="1" width="29.625" customWidth="1"/>
    <col min="2" max="2" width="11.125" customWidth="1"/>
    <col min="3" max="3" width="12.625" customWidth="1"/>
    <col min="4" max="4" width="11.625" customWidth="1"/>
  </cols>
  <sheetData>
    <row r="2" spans="1:4">
      <c r="A2" t="s">
        <v>171</v>
      </c>
      <c r="C2" s="88">
        <v>24.75</v>
      </c>
      <c r="D2" s="17"/>
    </row>
    <row r="3" spans="1:4">
      <c r="A3" t="s">
        <v>172</v>
      </c>
      <c r="B3" s="88">
        <v>87307</v>
      </c>
      <c r="C3" s="17">
        <f>$B$3*C2</f>
        <v>2160848.25</v>
      </c>
      <c r="D3" s="17"/>
    </row>
    <row r="4" spans="1:4">
      <c r="A4" t="s">
        <v>35</v>
      </c>
      <c r="B4" s="17">
        <f>32508.2*1.05</f>
        <v>34133.61</v>
      </c>
      <c r="C4" s="17">
        <f>$B$4*C2</f>
        <v>844806.84750000003</v>
      </c>
      <c r="D4" s="17"/>
    </row>
    <row r="5" spans="1:4">
      <c r="A5" t="s">
        <v>77</v>
      </c>
      <c r="B5" s="89">
        <v>0.12559999999999999</v>
      </c>
      <c r="C5" s="17">
        <f>$B$5*C3</f>
        <v>271402.54019999999</v>
      </c>
      <c r="D5" s="17"/>
    </row>
    <row r="6" spans="1:4">
      <c r="A6" t="s">
        <v>80</v>
      </c>
      <c r="B6" s="89">
        <v>1.4500000000000001E-2</v>
      </c>
      <c r="C6" s="17">
        <f>C3*$B$6</f>
        <v>31332.299625000003</v>
      </c>
      <c r="D6" s="17"/>
    </row>
    <row r="7" spans="1:4">
      <c r="A7" t="s">
        <v>173</v>
      </c>
      <c r="B7" s="89">
        <v>1.5E-3</v>
      </c>
      <c r="C7" s="17">
        <f>$B$7*C3</f>
        <v>3241.272375</v>
      </c>
      <c r="D7" s="17"/>
    </row>
    <row r="8" spans="1:4">
      <c r="A8" t="s">
        <v>82</v>
      </c>
      <c r="B8" s="89">
        <v>1.5E-3</v>
      </c>
      <c r="C8" s="19">
        <f>$B$8*C3</f>
        <v>3241.272375</v>
      </c>
      <c r="D8" s="20"/>
    </row>
    <row r="9" spans="1:4">
      <c r="A9" t="s">
        <v>174</v>
      </c>
      <c r="C9" s="21">
        <f>SUM(C3:C8)</f>
        <v>3314872.4820750006</v>
      </c>
      <c r="D9" s="21"/>
    </row>
    <row r="11" spans="1:4">
      <c r="A11" t="s">
        <v>175</v>
      </c>
      <c r="C11" s="88">
        <v>1</v>
      </c>
      <c r="D11" s="17"/>
    </row>
    <row r="12" spans="1:4">
      <c r="A12" t="s">
        <v>172</v>
      </c>
      <c r="B12" s="88">
        <v>124910</v>
      </c>
      <c r="C12" s="17">
        <f>B12*C11</f>
        <v>124910</v>
      </c>
      <c r="D12" s="17"/>
    </row>
    <row r="13" spans="1:4">
      <c r="A13" t="s">
        <v>35</v>
      </c>
      <c r="B13" s="17">
        <f>32508.2*1.05</f>
        <v>34133.61</v>
      </c>
      <c r="C13" s="17">
        <f>B13*C11</f>
        <v>34133.61</v>
      </c>
      <c r="D13" s="17"/>
    </row>
    <row r="14" spans="1:4">
      <c r="A14" t="s">
        <v>77</v>
      </c>
      <c r="B14" s="89">
        <v>0.12559999999999999</v>
      </c>
      <c r="C14" s="17">
        <f>B14*C12</f>
        <v>15688.695999999998</v>
      </c>
      <c r="D14" s="17"/>
    </row>
    <row r="15" spans="1:4">
      <c r="A15" t="s">
        <v>80</v>
      </c>
      <c r="B15" s="89">
        <v>1.4500000000000001E-2</v>
      </c>
      <c r="C15" s="17">
        <f>C12*B15</f>
        <v>1811.1950000000002</v>
      </c>
      <c r="D15" s="17"/>
    </row>
    <row r="16" spans="1:4">
      <c r="A16" t="s">
        <v>173</v>
      </c>
      <c r="B16" s="89">
        <v>1.5E-3</v>
      </c>
      <c r="C16" s="17">
        <f>B16*C12</f>
        <v>187.36500000000001</v>
      </c>
      <c r="D16" s="17"/>
    </row>
    <row r="17" spans="1:4">
      <c r="A17" t="s">
        <v>82</v>
      </c>
      <c r="B17" s="89">
        <v>1.5E-3</v>
      </c>
      <c r="C17" s="19">
        <f>B17*C12</f>
        <v>187.36500000000001</v>
      </c>
      <c r="D17" s="20"/>
    </row>
    <row r="18" spans="1:4">
      <c r="A18" t="s">
        <v>174</v>
      </c>
      <c r="C18" s="21">
        <f>SUM(C12:C17)</f>
        <v>176918.23099999997</v>
      </c>
      <c r="D18" s="21"/>
    </row>
    <row r="20" spans="1:4">
      <c r="A20" t="s">
        <v>176</v>
      </c>
      <c r="C20" s="88">
        <v>15.09</v>
      </c>
      <c r="D20" s="17"/>
    </row>
    <row r="21" spans="1:4">
      <c r="A21" t="s">
        <v>177</v>
      </c>
      <c r="B21" s="88">
        <v>48286</v>
      </c>
      <c r="C21" s="17">
        <f>$B$21*C20</f>
        <v>728635.74</v>
      </c>
      <c r="D21" s="17"/>
    </row>
    <row r="22" spans="1:4">
      <c r="A22" t="s">
        <v>35</v>
      </c>
      <c r="B22" s="88">
        <v>34133.61</v>
      </c>
      <c r="C22" s="17">
        <f>$B$22*C20</f>
        <v>515076.17489999998</v>
      </c>
      <c r="D22" s="17"/>
    </row>
    <row r="23" spans="1:4">
      <c r="A23" t="s">
        <v>78</v>
      </c>
      <c r="B23" s="89">
        <v>0.22</v>
      </c>
      <c r="C23" s="17">
        <f>C21*$B$23</f>
        <v>160299.8628</v>
      </c>
      <c r="D23" s="17"/>
    </row>
    <row r="24" spans="1:4">
      <c r="A24" t="s">
        <v>79</v>
      </c>
      <c r="B24" s="89">
        <v>6.2E-2</v>
      </c>
      <c r="C24" s="17">
        <f>$B$24*C21</f>
        <v>45175.41588</v>
      </c>
      <c r="D24" s="17"/>
    </row>
    <row r="25" spans="1:4">
      <c r="A25" t="s">
        <v>80</v>
      </c>
      <c r="B25" s="89">
        <v>1.4500000000000001E-2</v>
      </c>
      <c r="C25" s="17">
        <f>$B$25*C21</f>
        <v>10565.21823</v>
      </c>
      <c r="D25" s="17"/>
    </row>
    <row r="26" spans="1:4">
      <c r="A26" t="s">
        <v>173</v>
      </c>
      <c r="B26" s="89">
        <v>1.5E-3</v>
      </c>
      <c r="C26" s="17">
        <f>$B$26*C21</f>
        <v>1092.95361</v>
      </c>
      <c r="D26" s="17"/>
    </row>
    <row r="27" spans="1:4">
      <c r="A27" t="s">
        <v>82</v>
      </c>
      <c r="B27" s="89">
        <v>1.5E-3</v>
      </c>
      <c r="C27" s="19">
        <f>$B$27*C21</f>
        <v>1092.95361</v>
      </c>
      <c r="D27" s="19"/>
    </row>
    <row r="28" spans="1:4">
      <c r="A28" t="s">
        <v>178</v>
      </c>
      <c r="C28" s="21">
        <f>SUM(C21:C27)</f>
        <v>1461938.3190299999</v>
      </c>
      <c r="D28" s="21"/>
    </row>
    <row r="30" spans="1:4">
      <c r="A30" t="s">
        <v>179</v>
      </c>
      <c r="C30" s="88">
        <v>20000</v>
      </c>
      <c r="D30" s="17"/>
    </row>
    <row r="31" spans="1:4">
      <c r="A31" t="s">
        <v>79</v>
      </c>
      <c r="B31" s="89">
        <v>6.2E-2</v>
      </c>
      <c r="C31" s="17">
        <f>B31*C30</f>
        <v>1240</v>
      </c>
      <c r="D31" s="17"/>
    </row>
    <row r="32" spans="1:4">
      <c r="A32" t="s">
        <v>80</v>
      </c>
      <c r="B32" s="89">
        <v>1.4500000000000001E-2</v>
      </c>
      <c r="C32" s="17">
        <f>B32*C30</f>
        <v>290</v>
      </c>
      <c r="D32" s="17"/>
    </row>
    <row r="33" spans="1:4">
      <c r="A33" t="s">
        <v>173</v>
      </c>
      <c r="B33" s="89">
        <v>1.5E-3</v>
      </c>
      <c r="C33" s="17">
        <f>B33*C30</f>
        <v>30</v>
      </c>
      <c r="D33" s="17"/>
    </row>
    <row r="34" spans="1:4">
      <c r="A34" t="s">
        <v>82</v>
      </c>
      <c r="B34" s="89">
        <v>1.5E-3</v>
      </c>
      <c r="C34" s="19">
        <f>B34*C30</f>
        <v>30</v>
      </c>
      <c r="D34" s="20"/>
    </row>
    <row r="35" spans="1:4">
      <c r="A35" t="s">
        <v>178</v>
      </c>
      <c r="B35" s="18"/>
      <c r="C35" s="17">
        <f>SUM(C30:C34)</f>
        <v>21590</v>
      </c>
      <c r="D35" s="17"/>
    </row>
    <row r="36" spans="1:4">
      <c r="B36" s="18"/>
      <c r="C36" s="17"/>
      <c r="D36" s="17"/>
    </row>
    <row r="37" spans="1:4">
      <c r="A37" t="s">
        <v>180</v>
      </c>
      <c r="C37" s="22">
        <f>C28+C18+C9+C35</f>
        <v>4975319.0321050007</v>
      </c>
      <c r="D37" s="21"/>
    </row>
    <row r="39" spans="1:4">
      <c r="D39" s="23" t="s">
        <v>181</v>
      </c>
    </row>
    <row r="40" spans="1:4">
      <c r="A40" t="s">
        <v>182</v>
      </c>
      <c r="B40" s="88">
        <v>275</v>
      </c>
      <c r="C40" s="21">
        <f>C2*B40</f>
        <v>6806.25</v>
      </c>
      <c r="D40" s="88">
        <v>4325</v>
      </c>
    </row>
    <row r="41" spans="1:4">
      <c r="A41" t="s">
        <v>183</v>
      </c>
      <c r="C41" s="88">
        <v>221218</v>
      </c>
      <c r="D41" s="88">
        <v>106097</v>
      </c>
    </row>
    <row r="42" spans="1:4">
      <c r="A42" t="s">
        <v>184</v>
      </c>
      <c r="C42" s="88">
        <v>5000</v>
      </c>
      <c r="D42" s="88">
        <v>826</v>
      </c>
    </row>
    <row r="43" spans="1:4">
      <c r="A43" t="s">
        <v>24</v>
      </c>
      <c r="C43" s="90">
        <v>133223</v>
      </c>
      <c r="D43" s="88">
        <v>174114</v>
      </c>
    </row>
    <row r="44" spans="1:4">
      <c r="A44" t="s">
        <v>185</v>
      </c>
      <c r="C44" s="88">
        <v>5000</v>
      </c>
      <c r="D44" s="88">
        <v>2463</v>
      </c>
    </row>
    <row r="45" spans="1:4">
      <c r="A45" t="s">
        <v>186</v>
      </c>
      <c r="C45" s="88">
        <v>25000</v>
      </c>
      <c r="D45" s="17">
        <f>20798+248</f>
        <v>21046</v>
      </c>
    </row>
    <row r="46" spans="1:4">
      <c r="A46" t="s">
        <v>187</v>
      </c>
      <c r="C46" s="90">
        <v>650</v>
      </c>
      <c r="D46" s="88">
        <v>924</v>
      </c>
    </row>
    <row r="47" spans="1:4">
      <c r="A47" t="s">
        <v>188</v>
      </c>
      <c r="C47" s="91">
        <v>5000</v>
      </c>
      <c r="D47" s="88">
        <v>0</v>
      </c>
    </row>
    <row r="48" spans="1:4">
      <c r="C48" s="17"/>
      <c r="D48" s="17"/>
    </row>
    <row r="49" spans="1:4">
      <c r="A49" t="s">
        <v>189</v>
      </c>
      <c r="C49" s="22">
        <f>SUM(C40:C47)</f>
        <v>401897.25</v>
      </c>
      <c r="D49" s="21"/>
    </row>
    <row r="51" spans="1:4">
      <c r="A51" t="s">
        <v>190</v>
      </c>
      <c r="C51" s="22">
        <f>C49+C37</f>
        <v>5377216.2821050007</v>
      </c>
      <c r="D51" s="21"/>
    </row>
    <row r="52" spans="1:4" ht="42.75">
      <c r="A52" s="24" t="s">
        <v>191</v>
      </c>
      <c r="C52" s="92">
        <v>4528540</v>
      </c>
      <c r="D52" s="20"/>
    </row>
    <row r="53" spans="1:4">
      <c r="A53" t="s">
        <v>192</v>
      </c>
      <c r="C53" s="25">
        <f>C52-C51</f>
        <v>-848676.28210500069</v>
      </c>
      <c r="D53" s="2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K42"/>
  <sheetViews>
    <sheetView topLeftCell="A10" workbookViewId="0">
      <selection activeCell="Q30" sqref="Q30"/>
    </sheetView>
  </sheetViews>
  <sheetFormatPr defaultRowHeight="14.25"/>
  <cols>
    <col min="1" max="1" width="8.875" customWidth="1"/>
    <col min="10" max="10" width="10.75" customWidth="1"/>
    <col min="11" max="11" width="14.75" bestFit="1" customWidth="1"/>
  </cols>
  <sheetData>
    <row r="1" spans="1:11">
      <c r="A1" s="130" t="s">
        <v>193</v>
      </c>
      <c r="B1" s="130"/>
      <c r="C1" s="130"/>
      <c r="D1" s="130"/>
      <c r="E1" s="130"/>
      <c r="F1" s="130"/>
      <c r="G1" s="130"/>
      <c r="H1" s="130"/>
      <c r="I1" s="130"/>
      <c r="J1" s="130"/>
    </row>
    <row r="2" spans="1:11">
      <c r="A2" s="130" t="s">
        <v>194</v>
      </c>
      <c r="B2" s="130"/>
      <c r="C2" s="130"/>
      <c r="D2" s="130"/>
      <c r="E2" s="130"/>
      <c r="F2" s="130"/>
      <c r="G2" s="130"/>
      <c r="H2" s="130"/>
      <c r="I2" s="130"/>
      <c r="J2" s="130"/>
    </row>
    <row r="3" spans="1:11">
      <c r="A3" s="26"/>
      <c r="B3" s="26"/>
      <c r="C3" s="26"/>
      <c r="D3" s="26"/>
      <c r="E3" s="26"/>
      <c r="F3" s="26"/>
      <c r="G3" s="26"/>
      <c r="H3" s="26"/>
      <c r="I3" s="26"/>
      <c r="J3" s="26"/>
    </row>
    <row r="4" spans="1:11">
      <c r="A4" s="27"/>
      <c r="B4" s="27"/>
      <c r="C4" s="27"/>
      <c r="D4" s="27"/>
      <c r="E4" s="28"/>
      <c r="F4" s="27"/>
      <c r="G4" s="28"/>
      <c r="H4" s="27"/>
      <c r="I4" s="27"/>
      <c r="J4" s="28"/>
      <c r="K4" s="27"/>
    </row>
    <row r="5" spans="1:11">
      <c r="A5" s="29" t="s">
        <v>195</v>
      </c>
      <c r="B5" s="26"/>
      <c r="C5" s="26"/>
      <c r="D5" s="26"/>
      <c r="E5" s="26"/>
      <c r="F5" s="26"/>
      <c r="G5" s="26"/>
      <c r="H5" s="26"/>
      <c r="I5" s="26"/>
      <c r="J5" s="26"/>
    </row>
    <row r="6" spans="1:11">
      <c r="A6" s="26"/>
      <c r="B6" s="26"/>
      <c r="C6" s="26"/>
      <c r="D6" s="26"/>
      <c r="E6" s="26"/>
      <c r="F6" s="26"/>
      <c r="G6" s="26"/>
      <c r="H6" s="26"/>
      <c r="I6" s="26"/>
      <c r="J6" s="26"/>
    </row>
    <row r="7" spans="1:11">
      <c r="J7" s="26" t="s">
        <v>196</v>
      </c>
    </row>
    <row r="8" spans="1:11">
      <c r="A8" s="30" t="s">
        <v>197</v>
      </c>
    </row>
    <row r="9" spans="1:11">
      <c r="B9" s="31" t="s">
        <v>198</v>
      </c>
      <c r="D9" s="32" t="s">
        <v>199</v>
      </c>
      <c r="E9" s="33"/>
      <c r="F9" s="32"/>
      <c r="G9" s="32"/>
      <c r="H9" s="32"/>
      <c r="J9" s="93">
        <v>290</v>
      </c>
    </row>
    <row r="10" spans="1:11">
      <c r="B10" s="31" t="s">
        <v>200</v>
      </c>
      <c r="J10" s="34" t="s">
        <v>201</v>
      </c>
    </row>
    <row r="11" spans="1:11">
      <c r="B11" t="s">
        <v>202</v>
      </c>
      <c r="J11" s="35" t="s">
        <v>196</v>
      </c>
    </row>
    <row r="12" spans="1:11">
      <c r="B12" t="s">
        <v>203</v>
      </c>
      <c r="J12" s="94">
        <v>0</v>
      </c>
    </row>
    <row r="13" spans="1:11">
      <c r="B13" t="s">
        <v>204</v>
      </c>
      <c r="J13" s="95">
        <v>15</v>
      </c>
    </row>
    <row r="14" spans="1:11">
      <c r="B14" t="s">
        <v>205</v>
      </c>
      <c r="J14" s="95">
        <v>0</v>
      </c>
    </row>
    <row r="17" spans="1:11">
      <c r="A17" s="30" t="s">
        <v>206</v>
      </c>
    </row>
    <row r="18" spans="1:11">
      <c r="B18" t="s">
        <v>198</v>
      </c>
      <c r="J18" s="36">
        <f>J9</f>
        <v>290</v>
      </c>
    </row>
    <row r="19" spans="1:11">
      <c r="B19" t="s">
        <v>207</v>
      </c>
      <c r="J19" s="36">
        <f>326.1+(0.97*(J18-250))</f>
        <v>364.90000000000003</v>
      </c>
      <c r="K19" s="37" t="s">
        <v>196</v>
      </c>
    </row>
    <row r="20" spans="1:11">
      <c r="B20" s="38" t="s">
        <v>208</v>
      </c>
      <c r="J20" s="36">
        <f>J19*1.171</f>
        <v>427.29790000000003</v>
      </c>
      <c r="K20" s="37" t="s">
        <v>196</v>
      </c>
    </row>
    <row r="21" spans="1:11">
      <c r="B21" t="s">
        <v>209</v>
      </c>
      <c r="J21" s="36">
        <f>+J20*1.2</f>
        <v>512.75747999999999</v>
      </c>
    </row>
    <row r="22" spans="1:11">
      <c r="B22" t="s">
        <v>210</v>
      </c>
      <c r="J22" s="36">
        <f>J21*1.015</f>
        <v>520.44884219999994</v>
      </c>
    </row>
    <row r="23" spans="1:11">
      <c r="B23" t="s">
        <v>211</v>
      </c>
      <c r="J23" s="36">
        <f>J13*13</f>
        <v>195</v>
      </c>
    </row>
    <row r="24" spans="1:11">
      <c r="B24" t="s">
        <v>212</v>
      </c>
      <c r="J24" s="36">
        <f>+J14*0.8</f>
        <v>0</v>
      </c>
    </row>
    <row r="25" spans="1:11">
      <c r="B25" t="s">
        <v>213</v>
      </c>
      <c r="J25" s="39">
        <f>+J22+J23+J24</f>
        <v>715.44884219999994</v>
      </c>
    </row>
    <row r="26" spans="1:11">
      <c r="B26" t="s">
        <v>214</v>
      </c>
      <c r="G26" t="s">
        <v>196</v>
      </c>
      <c r="J26" s="96">
        <v>6660</v>
      </c>
    </row>
    <row r="27" spans="1:11">
      <c r="B27" t="s">
        <v>215</v>
      </c>
      <c r="J27" s="40">
        <f>+J25*J26</f>
        <v>4764889.2890519993</v>
      </c>
      <c r="K27" s="41" t="s">
        <v>196</v>
      </c>
    </row>
    <row r="28" spans="1:11">
      <c r="J28" s="42"/>
    </row>
    <row r="29" spans="1:11">
      <c r="A29" s="30" t="s">
        <v>216</v>
      </c>
      <c r="J29" s="42"/>
    </row>
    <row r="30" spans="1:11">
      <c r="B30" t="s">
        <v>217</v>
      </c>
      <c r="H30" s="97">
        <v>16</v>
      </c>
      <c r="J30" s="42" t="s">
        <v>196</v>
      </c>
      <c r="K30" t="s">
        <v>196</v>
      </c>
    </row>
    <row r="31" spans="1:11">
      <c r="B31" t="s">
        <v>213</v>
      </c>
      <c r="H31" s="43">
        <f>+J25</f>
        <v>715.44884219999994</v>
      </c>
      <c r="J31" s="44">
        <f>+H31*H30</f>
        <v>11447.181475199999</v>
      </c>
      <c r="K31" t="s">
        <v>196</v>
      </c>
    </row>
    <row r="34" spans="1:11">
      <c r="A34" s="30" t="s">
        <v>218</v>
      </c>
      <c r="J34" s="45">
        <f>J27+J31</f>
        <v>4776336.4705271991</v>
      </c>
      <c r="K34" s="30" t="s">
        <v>196</v>
      </c>
    </row>
    <row r="35" spans="1:11">
      <c r="I35" s="46" t="s">
        <v>219</v>
      </c>
    </row>
    <row r="36" spans="1:11">
      <c r="E36" s="38" t="s">
        <v>196</v>
      </c>
      <c r="F36" t="s">
        <v>220</v>
      </c>
      <c r="I36" s="98">
        <v>4</v>
      </c>
      <c r="J36" s="71">
        <f>J34*(I36/100)/(1+I36/100)</f>
        <v>183705.24886643072</v>
      </c>
      <c r="K36" s="54"/>
    </row>
    <row r="38" spans="1:11">
      <c r="F38" s="30" t="s">
        <v>221</v>
      </c>
      <c r="J38" s="47">
        <f>J34-J36</f>
        <v>4592631.2216607686</v>
      </c>
    </row>
    <row r="40" spans="1:11">
      <c r="B40" t="s">
        <v>222</v>
      </c>
    </row>
    <row r="41" spans="1:11">
      <c r="A41" t="s">
        <v>196</v>
      </c>
    </row>
    <row r="42" spans="1:11">
      <c r="J42" s="48"/>
    </row>
  </sheetData>
  <mergeCells count="2">
    <mergeCell ref="A1:J1"/>
    <mergeCell ref="A2:J2"/>
  </mergeCells>
  <dataValidations count="2">
    <dataValidation type="decimal" sqref="J9" xr:uid="{00000000-0002-0000-0800-000000000000}">
      <formula1>250</formula1>
      <formula2>399.99</formula2>
    </dataValidation>
    <dataValidation type="whole" sqref="J13" xr:uid="{00000000-0002-0000-0800-000001000000}">
      <formula1>0</formula1>
      <formula2>J9</formula2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C12"/>
  <sheetViews>
    <sheetView workbookViewId="0"/>
  </sheetViews>
  <sheetFormatPr defaultRowHeight="14.25"/>
  <cols>
    <col min="1" max="1" width="33" customWidth="1"/>
    <col min="2" max="2" width="10.125" customWidth="1"/>
    <col min="3" max="3" width="14.75" customWidth="1"/>
  </cols>
  <sheetData>
    <row r="1" spans="1:3">
      <c r="A1" t="s">
        <v>223</v>
      </c>
    </row>
    <row r="2" spans="1:3">
      <c r="A2" t="s">
        <v>224</v>
      </c>
    </row>
    <row r="3" spans="1:3">
      <c r="A3" t="s">
        <v>225</v>
      </c>
    </row>
    <row r="5" spans="1:3" ht="15">
      <c r="A5" s="49" t="s">
        <v>226</v>
      </c>
    </row>
    <row r="6" spans="1:3" ht="15">
      <c r="A6" s="49" t="s">
        <v>227</v>
      </c>
    </row>
    <row r="7" spans="1:3">
      <c r="B7" s="46" t="s">
        <v>228</v>
      </c>
    </row>
    <row r="8" spans="1:3">
      <c r="B8" s="46" t="s">
        <v>229</v>
      </c>
    </row>
    <row r="9" spans="1:3">
      <c r="B9" s="46"/>
    </row>
    <row r="10" spans="1:3">
      <c r="A10" t="s">
        <v>230</v>
      </c>
      <c r="B10" s="99">
        <v>16682.23</v>
      </c>
    </row>
    <row r="11" spans="1:3">
      <c r="B11" s="51"/>
    </row>
    <row r="12" spans="1:3">
      <c r="A12" s="23" t="s">
        <v>231</v>
      </c>
      <c r="B12" s="65">
        <f>'SoEl CS'!$J$25</f>
        <v>715.44884219999994</v>
      </c>
      <c r="C12" s="18">
        <f>ROUND(B12/$B$10,4)</f>
        <v>4.2900000000000001E-2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C17"/>
  <sheetViews>
    <sheetView workbookViewId="0">
      <selection activeCell="G19" sqref="G19"/>
    </sheetView>
  </sheetViews>
  <sheetFormatPr defaultRowHeight="14.25"/>
  <cols>
    <col min="1" max="1" width="27.5" customWidth="1"/>
    <col min="2" max="2" width="13.625" customWidth="1"/>
    <col min="3" max="3" width="14" bestFit="1" customWidth="1"/>
  </cols>
  <sheetData>
    <row r="1" spans="1:3">
      <c r="A1" t="s">
        <v>223</v>
      </c>
    </row>
    <row r="2" spans="1:3">
      <c r="A2" t="s">
        <v>224</v>
      </c>
    </row>
    <row r="3" spans="1:3">
      <c r="A3" t="s">
        <v>232</v>
      </c>
    </row>
    <row r="5" spans="1:3" ht="15">
      <c r="A5" s="52" t="s">
        <v>233</v>
      </c>
    </row>
    <row r="6" spans="1:3">
      <c r="A6" t="s">
        <v>234</v>
      </c>
      <c r="B6" s="100">
        <v>62359080</v>
      </c>
      <c r="C6" t="s">
        <v>235</v>
      </c>
    </row>
    <row r="7" spans="1:3">
      <c r="B7" s="53"/>
    </row>
    <row r="8" spans="1:3" ht="15">
      <c r="A8" t="s">
        <v>236</v>
      </c>
      <c r="B8" s="103">
        <v>36959489</v>
      </c>
    </row>
    <row r="9" spans="1:3">
      <c r="B9" s="53"/>
    </row>
    <row r="10" spans="1:3">
      <c r="A10" t="s">
        <v>237</v>
      </c>
      <c r="B10" s="53">
        <f>B6-B8</f>
        <v>25399591</v>
      </c>
    </row>
    <row r="12" spans="1:3" ht="15">
      <c r="A12" t="s">
        <v>230</v>
      </c>
      <c r="B12" s="101">
        <v>16682.23</v>
      </c>
    </row>
    <row r="14" spans="1:3">
      <c r="A14" t="s">
        <v>238</v>
      </c>
      <c r="B14" s="54">
        <f>ROUND(B10/B12,2)</f>
        <v>1522.55</v>
      </c>
    </row>
    <row r="16" spans="1:3">
      <c r="B16" s="50"/>
    </row>
    <row r="17" spans="1:3">
      <c r="A17" s="23" t="s">
        <v>239</v>
      </c>
      <c r="B17" s="66">
        <f>'Percent of AADM'!B12</f>
        <v>715.44884219999994</v>
      </c>
      <c r="C17" s="55">
        <f>ROUND($B$14*B17,2)</f>
        <v>1089306.6299999999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E17"/>
  <sheetViews>
    <sheetView workbookViewId="0">
      <selection activeCell="D12" sqref="D12"/>
    </sheetView>
  </sheetViews>
  <sheetFormatPr defaultRowHeight="14.25"/>
  <cols>
    <col min="1" max="1" width="20.875" customWidth="1"/>
    <col min="2" max="2" width="12.5" customWidth="1"/>
    <col min="3" max="3" width="11.25" customWidth="1"/>
    <col min="4" max="4" width="14.5" customWidth="1"/>
    <col min="5" max="5" width="9.25" customWidth="1"/>
  </cols>
  <sheetData>
    <row r="1" spans="1:5">
      <c r="A1" t="s">
        <v>223</v>
      </c>
    </row>
    <row r="2" spans="1:5">
      <c r="A2" t="s">
        <v>224</v>
      </c>
    </row>
    <row r="3" spans="1:5">
      <c r="A3" t="s">
        <v>240</v>
      </c>
    </row>
    <row r="5" spans="1:5" ht="15">
      <c r="A5" s="56" t="s">
        <v>241</v>
      </c>
    </row>
    <row r="6" spans="1:5" ht="15">
      <c r="A6" s="56"/>
      <c r="B6" s="46" t="s">
        <v>242</v>
      </c>
      <c r="C6" s="46" t="s">
        <v>393</v>
      </c>
      <c r="D6" s="46" t="s">
        <v>393</v>
      </c>
    </row>
    <row r="7" spans="1:5" ht="15">
      <c r="A7" s="56"/>
      <c r="B7" s="57" t="s">
        <v>60</v>
      </c>
      <c r="C7" s="57" t="s">
        <v>219</v>
      </c>
      <c r="D7" s="57" t="s">
        <v>243</v>
      </c>
    </row>
    <row r="9" spans="1:5">
      <c r="A9" t="s">
        <v>244</v>
      </c>
      <c r="B9" s="100">
        <v>174162</v>
      </c>
      <c r="C9" s="67">
        <f>'Percent of AADM'!C12</f>
        <v>4.2900000000000001E-2</v>
      </c>
      <c r="D9" s="54">
        <f>C9*B9</f>
        <v>7471.5497999999998</v>
      </c>
      <c r="E9" s="54"/>
    </row>
    <row r="10" spans="1:5">
      <c r="A10" t="s">
        <v>245</v>
      </c>
      <c r="B10" s="100">
        <v>152687</v>
      </c>
      <c r="C10" s="58">
        <f>$C$9</f>
        <v>4.2900000000000001E-2</v>
      </c>
      <c r="D10" s="54">
        <f t="shared" ref="D10:D15" si="0">C10*B10</f>
        <v>6550.2723000000005</v>
      </c>
    </row>
    <row r="11" spans="1:5">
      <c r="A11" t="s">
        <v>246</v>
      </c>
      <c r="B11" s="100">
        <v>10126165</v>
      </c>
      <c r="C11" s="58">
        <f t="shared" ref="C11:C15" si="1">$C$9</f>
        <v>4.2900000000000001E-2</v>
      </c>
      <c r="D11" s="54">
        <f t="shared" si="0"/>
        <v>434412.47850000003</v>
      </c>
    </row>
    <row r="12" spans="1:5">
      <c r="A12" t="s">
        <v>24</v>
      </c>
      <c r="B12" s="100">
        <v>81600</v>
      </c>
      <c r="C12" s="58">
        <f t="shared" si="1"/>
        <v>4.2900000000000001E-2</v>
      </c>
      <c r="D12" s="54">
        <f t="shared" si="0"/>
        <v>3500.64</v>
      </c>
    </row>
    <row r="13" spans="1:5">
      <c r="A13" t="s">
        <v>247</v>
      </c>
      <c r="B13" s="100">
        <v>2124010</v>
      </c>
      <c r="C13" s="58">
        <f t="shared" si="1"/>
        <v>4.2900000000000001E-2</v>
      </c>
      <c r="D13" s="54">
        <f t="shared" si="0"/>
        <v>91120.028999999995</v>
      </c>
    </row>
    <row r="14" spans="1:5">
      <c r="A14" t="s">
        <v>248</v>
      </c>
      <c r="B14" s="100">
        <v>1862801</v>
      </c>
      <c r="C14" s="58">
        <f t="shared" si="1"/>
        <v>4.2900000000000001E-2</v>
      </c>
      <c r="D14" s="54">
        <f t="shared" si="0"/>
        <v>79914.162899999996</v>
      </c>
    </row>
    <row r="15" spans="1:5" ht="15">
      <c r="A15" t="s">
        <v>249</v>
      </c>
      <c r="B15" s="59">
        <f>1475266+361050+104773</f>
        <v>1941089</v>
      </c>
      <c r="C15" s="58">
        <f t="shared" si="1"/>
        <v>4.2900000000000001E-2</v>
      </c>
      <c r="D15" s="104">
        <f t="shared" si="0"/>
        <v>83272.718099999998</v>
      </c>
    </row>
    <row r="16" spans="1:5">
      <c r="B16" s="53"/>
    </row>
    <row r="17" spans="2:4">
      <c r="B17" s="53">
        <f>SUM(B9:B15)</f>
        <v>16462514</v>
      </c>
      <c r="D17" s="54">
        <f>SUM(D9:D15)</f>
        <v>706241.85060000001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G24"/>
  <sheetViews>
    <sheetView workbookViewId="0">
      <selection activeCell="B10" sqref="B10"/>
    </sheetView>
  </sheetViews>
  <sheetFormatPr defaultColWidth="7.625" defaultRowHeight="14.25"/>
  <cols>
    <col min="1" max="1" width="29.875" customWidth="1"/>
    <col min="2" max="2" width="12.5" customWidth="1"/>
    <col min="3" max="3" width="11.75" customWidth="1"/>
    <col min="4" max="4" width="8.375" style="16" customWidth="1"/>
    <col min="5" max="5" width="11.75" customWidth="1"/>
    <col min="6" max="6" width="2.625" customWidth="1"/>
    <col min="7" max="7" width="13" customWidth="1"/>
  </cols>
  <sheetData>
    <row r="1" spans="1:7">
      <c r="A1" t="s">
        <v>223</v>
      </c>
    </row>
    <row r="2" spans="1:7">
      <c r="A2" t="s">
        <v>224</v>
      </c>
    </row>
    <row r="3" spans="1:7">
      <c r="A3" t="s">
        <v>250</v>
      </c>
    </row>
    <row r="4" spans="1:7">
      <c r="A4" t="s">
        <v>233</v>
      </c>
      <c r="D4" s="60"/>
    </row>
    <row r="6" spans="1:7">
      <c r="D6" s="60" t="s">
        <v>251</v>
      </c>
    </row>
    <row r="7" spans="1:7">
      <c r="B7" s="46" t="s">
        <v>252</v>
      </c>
      <c r="C7" s="46" t="s">
        <v>253</v>
      </c>
      <c r="D7" s="60" t="s">
        <v>254</v>
      </c>
      <c r="E7" s="102">
        <v>625</v>
      </c>
    </row>
    <row r="8" spans="1:7" ht="15">
      <c r="B8" s="57" t="s">
        <v>255</v>
      </c>
      <c r="C8" s="46" t="s">
        <v>256</v>
      </c>
      <c r="D8" s="60" t="s">
        <v>257</v>
      </c>
      <c r="E8" s="46" t="s">
        <v>258</v>
      </c>
      <c r="G8" s="46" t="s">
        <v>259</v>
      </c>
    </row>
    <row r="10" spans="1:7">
      <c r="A10" s="23" t="s">
        <v>241</v>
      </c>
      <c r="B10" s="68">
        <f>'Additional Allowable'!C17</f>
        <v>1089306.6299999999</v>
      </c>
      <c r="C10" s="69">
        <f>-'In-Kind Chargeable Costs'!D17</f>
        <v>-706241.85060000001</v>
      </c>
      <c r="D10" s="70">
        <f>'SoEl CS'!$J$25</f>
        <v>715.44884219999994</v>
      </c>
      <c r="E10" s="72">
        <f>ROUND(-D10*$E$7,0)</f>
        <v>-447156</v>
      </c>
      <c r="F10" s="54"/>
      <c r="G10" s="48">
        <f>B10+C10+E10</f>
        <v>-64091.220600000117</v>
      </c>
    </row>
    <row r="16" spans="1:7">
      <c r="D16" s="60"/>
    </row>
    <row r="17" spans="1:7">
      <c r="B17" s="46"/>
      <c r="C17" s="46"/>
      <c r="D17" s="60"/>
      <c r="E17" s="61"/>
    </row>
    <row r="18" spans="1:7" ht="15">
      <c r="B18" s="57"/>
      <c r="C18" s="46"/>
      <c r="D18" s="60"/>
      <c r="E18" s="46"/>
      <c r="G18" s="46"/>
    </row>
    <row r="20" spans="1:7">
      <c r="A20" s="23"/>
      <c r="B20" s="62"/>
      <c r="C20" s="63"/>
      <c r="D20" s="60"/>
      <c r="E20" s="62"/>
      <c r="F20" s="54"/>
      <c r="G20" s="48"/>
    </row>
    <row r="21" spans="1:7">
      <c r="A21" s="23"/>
      <c r="B21" s="62"/>
      <c r="C21" s="63"/>
      <c r="D21" s="60"/>
      <c r="E21" s="62"/>
      <c r="F21" s="54"/>
      <c r="G21" s="48"/>
    </row>
    <row r="22" spans="1:7">
      <c r="A22" s="23"/>
      <c r="B22" s="62"/>
      <c r="C22" s="63"/>
      <c r="D22" s="60"/>
      <c r="E22" s="62"/>
      <c r="F22" s="54"/>
      <c r="G22" s="48"/>
    </row>
    <row r="23" spans="1:7" ht="15">
      <c r="A23" s="23"/>
      <c r="B23" s="105"/>
      <c r="C23" s="106"/>
      <c r="D23" s="64"/>
      <c r="E23" s="62"/>
      <c r="F23" s="104"/>
      <c r="G23" s="105"/>
    </row>
    <row r="24" spans="1:7">
      <c r="B24" s="48"/>
      <c r="C24" s="48"/>
      <c r="E24" s="48"/>
      <c r="G24" s="4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284B63"/>
  </sheetPr>
  <dimension ref="A3:F17"/>
  <sheetViews>
    <sheetView showGridLines="0" topLeftCell="A6" workbookViewId="0">
      <selection activeCell="B14" sqref="B14"/>
    </sheetView>
  </sheetViews>
  <sheetFormatPr defaultRowHeight="14.25"/>
  <cols>
    <col min="1" max="1" width="39" customWidth="1"/>
    <col min="2" max="2" width="23" customWidth="1"/>
    <col min="3" max="3" width="85" customWidth="1"/>
  </cols>
  <sheetData>
    <row r="3" spans="1:3">
      <c r="A3" s="117" t="s">
        <v>394</v>
      </c>
      <c r="B3" s="118"/>
      <c r="C3" s="117"/>
    </row>
    <row r="4" spans="1:3">
      <c r="A4" s="74"/>
      <c r="B4" s="111" t="s">
        <v>395</v>
      </c>
      <c r="C4" s="74"/>
    </row>
    <row r="5" spans="1:3">
      <c r="A5" s="112" t="s">
        <v>260</v>
      </c>
      <c r="B5" s="83">
        <f>'SoEl CS'!$J$27</f>
        <v>4764889.2890519993</v>
      </c>
      <c r="C5" s="84"/>
    </row>
    <row r="6" spans="1:3" ht="48" customHeight="1">
      <c r="A6" s="112" t="s">
        <v>261</v>
      </c>
      <c r="B6" s="113">
        <v>0</v>
      </c>
      <c r="C6" s="84" t="s">
        <v>396</v>
      </c>
    </row>
    <row r="7" spans="1:3">
      <c r="A7" s="112" t="s">
        <v>262</v>
      </c>
      <c r="B7" s="114">
        <f>'Additional Allowable'!C17</f>
        <v>1089306.6299999999</v>
      </c>
      <c r="C7" s="84"/>
    </row>
    <row r="8" spans="1:3">
      <c r="A8" s="112" t="s">
        <v>263</v>
      </c>
      <c r="B8" s="115">
        <f>SUM(B5:B7)</f>
        <v>5854195.9190519992</v>
      </c>
      <c r="C8" s="84"/>
    </row>
    <row r="9" spans="1:3">
      <c r="A9" s="112"/>
      <c r="B9" s="116"/>
      <c r="C9" s="84"/>
    </row>
    <row r="10" spans="1:3" ht="48" customHeight="1">
      <c r="A10" s="112" t="s">
        <v>397</v>
      </c>
      <c r="B10" s="83">
        <f>-'SoEl CS'!J36</f>
        <v>-183705.24886643072</v>
      </c>
      <c r="C10" s="84" t="s">
        <v>398</v>
      </c>
    </row>
    <row r="11" spans="1:3" ht="48" customHeight="1">
      <c r="A11" s="112" t="s">
        <v>399</v>
      </c>
      <c r="B11" s="83">
        <f>-('In-Kind Chargeable Costs'!D17-SUM('In-Kind Chargeable Costs'!D10,'In-Kind Chargeable Costs'!D12))</f>
        <v>-696190.93830000004</v>
      </c>
      <c r="C11" s="84" t="s">
        <v>400</v>
      </c>
    </row>
    <row r="12" spans="1:3" ht="48" customHeight="1">
      <c r="A12" s="112" t="s">
        <v>401</v>
      </c>
      <c r="B12" s="83">
        <f>'Rent 625'!E10</f>
        <v>-447156</v>
      </c>
      <c r="C12" s="84" t="s">
        <v>402</v>
      </c>
    </row>
    <row r="13" spans="1:3">
      <c r="A13" s="74"/>
      <c r="B13" s="75"/>
      <c r="C13" s="84"/>
    </row>
    <row r="14" spans="1:3">
      <c r="A14" s="119" t="s">
        <v>3</v>
      </c>
      <c r="B14" s="120">
        <f>SUM(B8,B10:B12)</f>
        <v>4527143.7318855692</v>
      </c>
      <c r="C14" s="84"/>
    </row>
    <row r="15" spans="1:3">
      <c r="A15" s="119" t="s">
        <v>403</v>
      </c>
      <c r="B15" s="120">
        <f>ROUND(B14,0)</f>
        <v>4527144</v>
      </c>
      <c r="C15" s="84"/>
    </row>
    <row r="16" spans="1:3">
      <c r="A16" s="74"/>
      <c r="B16" s="74"/>
      <c r="C16" s="74"/>
    </row>
    <row r="17" spans="1:6" ht="32.1" customHeight="1">
      <c r="A17" s="131"/>
      <c r="B17" s="131"/>
      <c r="C17" s="131"/>
      <c r="D17" s="132"/>
      <c r="E17" s="132"/>
      <c r="F17" s="132"/>
    </row>
  </sheetData>
  <mergeCells count="1">
    <mergeCell ref="A17:F17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efd950c-944d-404f-b6bf-71cb7e06b360}" enabled="1" method="Standard" siteId="{bfa12df7-47f4-4a99-a8ad-1209e99b84f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Summary</vt:lpstr>
      <vt:lpstr>Budget</vt:lpstr>
      <vt:lpstr>Staffing</vt:lpstr>
      <vt:lpstr>Enrollment</vt:lpstr>
      <vt:lpstr>Inputs</vt:lpstr>
      <vt:lpstr>Rules and Capacity</vt:lpstr>
      <vt:lpstr>District Budget</vt:lpstr>
      <vt:lpstr>SoEl CS</vt:lpstr>
      <vt:lpstr>Percent of AADM</vt:lpstr>
      <vt:lpstr>Additional Allowable</vt:lpstr>
      <vt:lpstr>In-Kind Chargeable Costs</vt:lpstr>
      <vt:lpstr>Rent 625</vt:lpstr>
      <vt:lpstr>Total Revenue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 Cheah</cp:lastModifiedBy>
  <dcterms:modified xsi:type="dcterms:W3CDTF">2026-10-14T18:16:23Z</dcterms:modified>
</cp:coreProperties>
</file>